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acf4801250fae1f/Desktop/"/>
    </mc:Choice>
  </mc:AlternateContent>
  <xr:revisionPtr revIDLastSave="259" documentId="8_{030BB5B8-AEA3-4DD7-A86A-FBFB0AE61147}" xr6:coauthVersionLast="47" xr6:coauthVersionMax="47" xr10:uidLastSave="{D0FB0990-B5D6-4B1F-B543-CCB2232B8297}"/>
  <bookViews>
    <workbookView xWindow="-110" yWindow="-110" windowWidth="19420" windowHeight="10300" activeTab="3" xr2:uid="{00000000-000D-0000-FFFF-FFFF00000000}"/>
  </bookViews>
  <sheets>
    <sheet name="SQ " sheetId="7" r:id="rId1"/>
    <sheet name="SE" sheetId="5" r:id="rId2"/>
    <sheet name="ST" sheetId="6" r:id="rId3"/>
    <sheet name="SK" sheetId="8" r:id="rId4"/>
  </sheets>
  <definedNames>
    <definedName name="Z_947B752F_E4E5_4C5C_81CB_1317F626B06B_.wvu.Cols" localSheetId="1" hidden="1">SE!$G:$J</definedName>
    <definedName name="Z_947B752F_E4E5_4C5C_81CB_1317F626B06B_.wvu.Cols" localSheetId="0" hidden="1">'SQ '!$G:$J</definedName>
    <definedName name="Z_947B752F_E4E5_4C5C_81CB_1317F626B06B_.wvu.Cols" localSheetId="2" hidden="1">ST!$H:$K</definedName>
  </definedNames>
  <calcPr calcId="191028"/>
  <customWorkbookViews>
    <customWorkbookView name="DTC" guid="{947B752F-E4E5-4C5C-81CB-1317F626B06B}" maximized="1" xWindow="-11" yWindow="-11" windowWidth="3862" windowHeight="212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8" l="1"/>
  <c r="J33" i="8"/>
  <c r="I38" i="8"/>
  <c r="I35" i="8"/>
  <c r="I33" i="8"/>
  <c r="G18" i="7"/>
  <c r="H18" i="7"/>
  <c r="H17" i="7"/>
  <c r="G17" i="7"/>
  <c r="H40" i="7"/>
  <c r="G40" i="7"/>
  <c r="H41" i="7"/>
  <c r="G41" i="7"/>
  <c r="G18" i="5"/>
  <c r="I37" i="8"/>
  <c r="I36" i="8"/>
  <c r="F36" i="8"/>
  <c r="F35" i="8"/>
  <c r="F34" i="8"/>
  <c r="J32" i="8"/>
  <c r="I32" i="8"/>
  <c r="J31" i="8"/>
  <c r="I31" i="8"/>
  <c r="J30" i="8"/>
  <c r="I30" i="8"/>
  <c r="G30" i="8"/>
  <c r="F30" i="8"/>
  <c r="J29" i="8"/>
  <c r="I29" i="8"/>
  <c r="G29" i="8"/>
  <c r="F29" i="8"/>
  <c r="J28" i="8"/>
  <c r="I28" i="8"/>
  <c r="G28" i="8"/>
  <c r="F28" i="8"/>
  <c r="J27" i="8"/>
  <c r="I27" i="8"/>
  <c r="G27" i="8"/>
  <c r="F27" i="8"/>
  <c r="J26" i="8"/>
  <c r="I26" i="8"/>
  <c r="G26" i="8"/>
  <c r="F26" i="8"/>
  <c r="J25" i="8"/>
  <c r="I25" i="8"/>
  <c r="G25" i="8"/>
  <c r="F25" i="8"/>
  <c r="J24" i="8"/>
  <c r="I24" i="8"/>
  <c r="G24" i="8"/>
  <c r="F24" i="8"/>
  <c r="J23" i="8"/>
  <c r="I23" i="8"/>
  <c r="G23" i="8"/>
  <c r="F23" i="8"/>
  <c r="J22" i="8"/>
  <c r="I22" i="8"/>
  <c r="G22" i="8"/>
  <c r="F22" i="8"/>
  <c r="J21" i="8"/>
  <c r="I21" i="8"/>
  <c r="G21" i="8"/>
  <c r="F21" i="8"/>
  <c r="J20" i="8"/>
  <c r="I20" i="8"/>
  <c r="G20" i="8"/>
  <c r="F20" i="8"/>
  <c r="J19" i="8"/>
  <c r="I19" i="8"/>
  <c r="G19" i="8"/>
  <c r="F19" i="8"/>
  <c r="I18" i="8"/>
  <c r="G18" i="8"/>
  <c r="F18" i="8"/>
  <c r="G17" i="8"/>
  <c r="F17" i="8"/>
  <c r="L16" i="8"/>
  <c r="K16" i="8"/>
  <c r="F16" i="8"/>
  <c r="L15" i="8"/>
  <c r="K15" i="8"/>
  <c r="L14" i="8"/>
  <c r="K14" i="8"/>
  <c r="L13" i="8"/>
  <c r="K13" i="8"/>
  <c r="D13" i="8"/>
  <c r="C13" i="8"/>
  <c r="L12" i="8"/>
  <c r="K12" i="8"/>
  <c r="L11" i="8"/>
  <c r="K11" i="8"/>
  <c r="L10" i="8"/>
  <c r="K10" i="8"/>
  <c r="L9" i="8"/>
  <c r="K9" i="8"/>
  <c r="K8" i="8"/>
  <c r="I34" i="6"/>
  <c r="H34" i="6"/>
  <c r="I33" i="6"/>
  <c r="H33" i="6"/>
  <c r="G33" i="6"/>
  <c r="F33" i="6"/>
  <c r="I32" i="6"/>
  <c r="H32" i="6"/>
  <c r="G32" i="6"/>
  <c r="F32" i="6"/>
  <c r="I31" i="6"/>
  <c r="H31" i="6"/>
  <c r="G31" i="6"/>
  <c r="F31" i="6"/>
  <c r="I30" i="6"/>
  <c r="H30" i="6"/>
  <c r="G30" i="6"/>
  <c r="F30" i="6"/>
  <c r="I29" i="6"/>
  <c r="H29" i="6"/>
  <c r="G29" i="6"/>
  <c r="F29" i="6"/>
  <c r="I28" i="6"/>
  <c r="H28" i="6"/>
  <c r="G28" i="6"/>
  <c r="F28" i="6"/>
  <c r="I27" i="6"/>
  <c r="H27" i="6"/>
  <c r="G27" i="6"/>
  <c r="F27" i="6"/>
  <c r="I26" i="6"/>
  <c r="H26" i="6"/>
  <c r="G26" i="6"/>
  <c r="F26" i="6"/>
  <c r="I25" i="6"/>
  <c r="H25" i="6"/>
  <c r="G25" i="6"/>
  <c r="F25" i="6"/>
  <c r="I24" i="6"/>
  <c r="H24" i="6"/>
  <c r="G24" i="6"/>
  <c r="F24" i="6"/>
  <c r="I23" i="6"/>
  <c r="H23" i="6"/>
  <c r="G23" i="6"/>
  <c r="F23" i="6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I17" i="6"/>
  <c r="H17" i="6"/>
  <c r="G17" i="6"/>
  <c r="F17" i="6"/>
  <c r="K16" i="6"/>
  <c r="J16" i="6"/>
  <c r="G16" i="6"/>
  <c r="F16" i="6"/>
  <c r="K15" i="6"/>
  <c r="J15" i="6"/>
  <c r="K14" i="6"/>
  <c r="J14" i="6"/>
  <c r="K13" i="6"/>
  <c r="J13" i="6"/>
  <c r="D13" i="6"/>
  <c r="C13" i="6"/>
  <c r="K12" i="6"/>
  <c r="J12" i="6"/>
  <c r="K11" i="6"/>
  <c r="J11" i="6"/>
  <c r="K10" i="6"/>
  <c r="J10" i="6"/>
  <c r="K9" i="6"/>
  <c r="J9" i="6"/>
  <c r="J8" i="6"/>
  <c r="J39" i="5"/>
  <c r="I39" i="5"/>
  <c r="I38" i="5"/>
  <c r="I37" i="5"/>
  <c r="I36" i="5"/>
  <c r="I35" i="5"/>
  <c r="I34" i="5"/>
  <c r="I33" i="5"/>
  <c r="J16" i="5"/>
  <c r="I16" i="5"/>
  <c r="I15" i="5"/>
  <c r="I14" i="5"/>
  <c r="I13" i="5"/>
  <c r="I12" i="5"/>
  <c r="I11" i="5"/>
  <c r="I10" i="5"/>
  <c r="I9" i="5"/>
  <c r="I8" i="5"/>
  <c r="J39" i="7"/>
  <c r="I39" i="7"/>
  <c r="D39" i="7"/>
  <c r="C39" i="7"/>
  <c r="J38" i="7"/>
  <c r="I38" i="7"/>
  <c r="J37" i="7"/>
  <c r="I37" i="7"/>
  <c r="J36" i="7"/>
  <c r="I36" i="7"/>
  <c r="J35" i="7"/>
  <c r="I35" i="7"/>
  <c r="J34" i="7"/>
  <c r="I34" i="7"/>
  <c r="J33" i="7"/>
  <c r="I33" i="7"/>
  <c r="J32" i="7"/>
  <c r="I32" i="7"/>
  <c r="I31" i="7"/>
  <c r="I14" i="7"/>
  <c r="J14" i="7"/>
  <c r="J16" i="7"/>
  <c r="I16" i="7"/>
  <c r="I15" i="7"/>
  <c r="I13" i="7"/>
  <c r="I12" i="7"/>
  <c r="I11" i="7"/>
  <c r="I10" i="7"/>
  <c r="I9" i="7"/>
  <c r="I8" i="7"/>
  <c r="G16" i="8" l="1"/>
  <c r="G31" i="8"/>
  <c r="F37" i="8"/>
  <c r="F31" i="8"/>
  <c r="D41" i="7"/>
  <c r="D42" i="7"/>
  <c r="C42" i="7"/>
  <c r="C41" i="7"/>
  <c r="J38" i="5"/>
  <c r="J37" i="5" s="1"/>
  <c r="J36" i="5" s="1"/>
  <c r="J35" i="5" s="1"/>
  <c r="J34" i="5" s="1"/>
  <c r="D15" i="5"/>
  <c r="J15" i="5"/>
  <c r="J14" i="5"/>
  <c r="J13" i="5" s="1"/>
  <c r="J12" i="5" s="1"/>
  <c r="J11" i="5" s="1"/>
  <c r="J10" i="5" s="1"/>
  <c r="J9" i="5" s="1"/>
  <c r="C13" i="5" s="1"/>
  <c r="D13" i="5" s="1"/>
  <c r="J13" i="7"/>
  <c r="J15" i="7"/>
  <c r="C38" i="5" l="1"/>
  <c r="D38" i="5" s="1"/>
  <c r="G17" i="5"/>
  <c r="C15" i="5" s="1"/>
  <c r="J12" i="7"/>
  <c r="J11" i="7" s="1"/>
  <c r="J10" i="7" s="1"/>
  <c r="J9" i="7" s="1"/>
  <c r="C13" i="7" s="1"/>
  <c r="D13" i="7" s="1"/>
  <c r="D15" i="7"/>
  <c r="G40" i="5" l="1"/>
  <c r="G41" i="5"/>
  <c r="D16" i="7"/>
  <c r="C16" i="7"/>
  <c r="C15" i="7"/>
  <c r="C40" i="5" l="1"/>
  <c r="D40" i="5"/>
</calcChain>
</file>

<file path=xl/sharedStrings.xml><?xml version="1.0" encoding="utf-8"?>
<sst xmlns="http://schemas.openxmlformats.org/spreadsheetml/2006/main" count="335" uniqueCount="167">
  <si>
    <r>
      <rPr>
        <b/>
        <sz val="26"/>
        <color theme="2" tint="-0.499984740745262"/>
        <rFont val="Segoe UI"/>
        <charset val="204"/>
      </rPr>
      <t>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SQ NEW</t>
    </r>
    <r>
      <rPr>
        <b/>
        <sz val="26"/>
        <color theme="2" tint="-0.749992370372631"/>
        <rFont val="Segoe UI"/>
        <charset val="204"/>
      </rPr>
      <t xml:space="preserve"> </t>
    </r>
  </si>
  <si>
    <t>calculator list SQ:</t>
  </si>
  <si>
    <t>Material</t>
  </si>
  <si>
    <t>density 1м2</t>
  </si>
  <si>
    <t>calculation</t>
  </si>
  <si>
    <t>formula</t>
  </si>
  <si>
    <t>Х</t>
  </si>
  <si>
    <t>+</t>
  </si>
  <si>
    <t>Select the door material from the drop-down list and get the door weight and required power factor</t>
  </si>
  <si>
    <r>
      <rPr>
        <sz val="11"/>
        <color theme="2" tint="-0.749992370372631"/>
        <rFont val="Calibri"/>
        <charset val="204"/>
        <scheme val="minor"/>
      </rPr>
      <t>ТOP STAY  (SQ02B</t>
    </r>
    <r>
      <rPr>
        <b/>
        <sz val="11"/>
        <color theme="2" tint="-0.749992370372631"/>
        <rFont val="Calibri"/>
        <charset val="204"/>
        <scheme val="minor"/>
      </rPr>
      <t>L</t>
    </r>
    <r>
      <rPr>
        <sz val="11"/>
        <color theme="2" tint="-0.749992370372631"/>
        <rFont val="Calibri"/>
        <charset val="204"/>
        <scheme val="minor"/>
      </rPr>
      <t>)    light</t>
    </r>
  </si>
  <si>
    <r>
      <rPr>
        <b/>
        <sz val="11"/>
        <color theme="2" tint="-0.749992370372631"/>
        <rFont val="Calibri"/>
        <charset val="204"/>
        <scheme val="minor"/>
      </rPr>
      <t>480 - 1250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>400 мм</t>
    </r>
  </si>
  <si>
    <r>
      <rPr>
        <sz val="11"/>
        <color theme="2" tint="-0.749992370372631"/>
        <rFont val="Calibri"/>
        <charset val="204"/>
        <scheme val="minor"/>
      </rPr>
      <t>ТOP STAY  (SQ02B</t>
    </r>
    <r>
      <rPr>
        <b/>
        <sz val="11"/>
        <color theme="2" tint="-0.749992370372631"/>
        <rFont val="Calibri"/>
        <charset val="204"/>
        <scheme val="minor"/>
      </rPr>
      <t>M</t>
    </r>
    <r>
      <rPr>
        <sz val="11"/>
        <color theme="2" tint="-0.749992370372631"/>
        <rFont val="Calibri"/>
        <charset val="204"/>
        <scheme val="minor"/>
      </rPr>
      <t>)  medium</t>
    </r>
  </si>
  <si>
    <r>
      <rPr>
        <b/>
        <sz val="11"/>
        <color theme="2" tint="-0.749992370372631"/>
        <rFont val="Calibri"/>
        <charset val="204"/>
        <scheme val="minor"/>
      </rPr>
      <t>960 - 2350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>500 мм</t>
    </r>
  </si>
  <si>
    <r>
      <rPr>
        <sz val="11"/>
        <color theme="2" tint="-0.749992370372631"/>
        <rFont val="Calibri"/>
        <charset val="204"/>
        <scheme val="minor"/>
      </rPr>
      <t>ТOP STAY  (SQ02B</t>
    </r>
    <r>
      <rPr>
        <b/>
        <sz val="11"/>
        <color theme="2" tint="-0.749992370372631"/>
        <rFont val="Calibri"/>
        <charset val="204"/>
        <scheme val="minor"/>
      </rPr>
      <t>H</t>
    </r>
    <r>
      <rPr>
        <sz val="11"/>
        <color theme="2" tint="-0.749992370372631"/>
        <rFont val="Calibri"/>
        <charset val="204"/>
        <scheme val="minor"/>
      </rPr>
      <t>)   strong</t>
    </r>
  </si>
  <si>
    <r>
      <rPr>
        <b/>
        <sz val="11"/>
        <color theme="2" tint="-0.749992370372631"/>
        <rFont val="Calibri"/>
        <charset val="204"/>
        <scheme val="minor"/>
      </rPr>
      <t>1600 - 3600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>500 мм</t>
    </r>
  </si>
  <si>
    <r>
      <rPr>
        <sz val="11"/>
        <color theme="2" tint="-0.749992370372631"/>
        <rFont val="Calibri"/>
        <charset val="204"/>
        <scheme val="minor"/>
      </rPr>
      <t>ТOP STAY  (SQ02B</t>
    </r>
    <r>
      <rPr>
        <b/>
        <sz val="11"/>
        <color theme="2" tint="-0.749992370372631"/>
        <rFont val="Calibri"/>
        <charset val="204"/>
        <scheme val="minor"/>
      </rPr>
      <t>C</t>
    </r>
    <r>
      <rPr>
        <sz val="11"/>
        <color theme="2" tint="-0.749992370372631"/>
        <rFont val="Calibri"/>
        <charset val="204"/>
        <scheme val="minor"/>
      </rPr>
      <t>)   extra strong</t>
    </r>
  </si>
  <si>
    <r>
      <rPr>
        <b/>
        <sz val="11"/>
        <color theme="2" tint="-0.749992370372631"/>
        <rFont val="Calibri"/>
        <charset val="204"/>
        <scheme val="minor"/>
      </rPr>
      <t>2500 - 4500</t>
    </r>
    <r>
      <rPr>
        <sz val="11"/>
        <color theme="2" tint="-0.749992370372631"/>
        <rFont val="Calibri"/>
        <charset val="204"/>
        <scheme val="minor"/>
      </rPr>
      <t>, h=250-6</t>
    </r>
    <r>
      <rPr>
        <sz val="11"/>
        <color theme="2" tint="-0.749992370372631"/>
        <rFont val="Calibri"/>
        <charset val="204"/>
      </rPr>
      <t>00 мм</t>
    </r>
  </si>
  <si>
    <t>Счетчик списка SQ:</t>
  </si>
  <si>
    <r>
      <rPr>
        <b/>
        <sz val="26"/>
        <color theme="2" tint="-0.499984740745262"/>
        <rFont val="Segoe UI"/>
        <charset val="204"/>
      </rPr>
      <t>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SQ NEW push</t>
    </r>
    <r>
      <rPr>
        <b/>
        <sz val="26"/>
        <color theme="2" tint="-0.749992370372631"/>
        <rFont val="Segoe UI"/>
        <charset val="204"/>
      </rPr>
      <t xml:space="preserve"> </t>
    </r>
  </si>
  <si>
    <r>
      <rPr>
        <sz val="11"/>
        <color theme="2" tint="-0.749992370372631"/>
        <rFont val="Calibri"/>
        <charset val="204"/>
        <scheme val="minor"/>
      </rPr>
      <t>ТOP STAY  (SQ2FB</t>
    </r>
    <r>
      <rPr>
        <b/>
        <sz val="11"/>
        <color theme="2" tint="-0.749992370372631"/>
        <rFont val="Calibri"/>
        <charset val="204"/>
        <scheme val="minor"/>
      </rPr>
      <t>L</t>
    </r>
    <r>
      <rPr>
        <sz val="11"/>
        <color theme="2" tint="-0.749992370372631"/>
        <rFont val="Calibri"/>
        <charset val="204"/>
        <scheme val="minor"/>
      </rPr>
      <t>)    light</t>
    </r>
  </si>
  <si>
    <r>
      <rPr>
        <b/>
        <sz val="11"/>
        <color theme="2" tint="-0.749992370372631"/>
        <rFont val="Calibri"/>
        <charset val="204"/>
        <scheme val="minor"/>
      </rPr>
      <t>580 - 1350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 xml:space="preserve">400 </t>
    </r>
    <r>
      <rPr>
        <sz val="11"/>
        <color theme="2" tint="-0.749992370372631"/>
        <rFont val="等线"/>
        <charset val="134"/>
      </rPr>
      <t>мм</t>
    </r>
  </si>
  <si>
    <r>
      <rPr>
        <sz val="11"/>
        <color theme="2" tint="-0.749992370372631"/>
        <rFont val="Calibri"/>
        <charset val="204"/>
        <scheme val="minor"/>
      </rPr>
      <t>ТOP STAY  (SQ2FB</t>
    </r>
    <r>
      <rPr>
        <b/>
        <sz val="11"/>
        <color theme="2" tint="-0.749992370372631"/>
        <rFont val="Calibri"/>
        <charset val="204"/>
        <scheme val="minor"/>
      </rPr>
      <t>M</t>
    </r>
    <r>
      <rPr>
        <sz val="11"/>
        <color theme="2" tint="-0.749992370372631"/>
        <rFont val="Calibri"/>
        <charset val="204"/>
        <scheme val="minor"/>
      </rPr>
      <t>)  medium</t>
    </r>
  </si>
  <si>
    <r>
      <rPr>
        <b/>
        <sz val="11"/>
        <color theme="2" tint="-0.749992370372631"/>
        <rFont val="Calibri"/>
        <charset val="204"/>
        <scheme val="minor"/>
      </rPr>
      <t>1060 - 2450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>500 мм</t>
    </r>
  </si>
  <si>
    <r>
      <rPr>
        <sz val="11"/>
        <color theme="2" tint="-0.749992370372631"/>
        <rFont val="Calibri"/>
        <charset val="204"/>
        <scheme val="minor"/>
      </rPr>
      <t>ТOP STAY  (SQ2FB</t>
    </r>
    <r>
      <rPr>
        <b/>
        <sz val="11"/>
        <color theme="2" tint="-0.749992370372631"/>
        <rFont val="Calibri"/>
        <charset val="204"/>
        <scheme val="minor"/>
      </rPr>
      <t>H</t>
    </r>
    <r>
      <rPr>
        <sz val="11"/>
        <color theme="2" tint="-0.749992370372631"/>
        <rFont val="Calibri"/>
        <charset val="204"/>
        <scheme val="minor"/>
      </rPr>
      <t>)   strong</t>
    </r>
  </si>
  <si>
    <r>
      <rPr>
        <b/>
        <sz val="11"/>
        <color theme="2" tint="-0.749992370372631"/>
        <rFont val="Calibri"/>
        <charset val="204"/>
        <scheme val="minor"/>
      </rPr>
      <t>1800 - 4000</t>
    </r>
    <r>
      <rPr>
        <sz val="11"/>
        <color theme="2" tint="-0.749992370372631"/>
        <rFont val="Calibri"/>
        <charset val="204"/>
        <scheme val="minor"/>
      </rPr>
      <t>, h=250-</t>
    </r>
    <r>
      <rPr>
        <sz val="11"/>
        <color theme="2" tint="-0.749992370372631"/>
        <rFont val="Calibri"/>
        <charset val="204"/>
      </rPr>
      <t>500 мм</t>
    </r>
  </si>
  <si>
    <r>
      <rPr>
        <sz val="11"/>
        <color theme="2" tint="-0.749992370372631"/>
        <rFont val="Calibri"/>
        <charset val="204"/>
        <scheme val="minor"/>
      </rPr>
      <t>ТOP STAY  (SQ2FB</t>
    </r>
    <r>
      <rPr>
        <b/>
        <sz val="11"/>
        <color theme="2" tint="-0.749992370372631"/>
        <rFont val="Calibri"/>
        <charset val="204"/>
        <scheme val="minor"/>
      </rPr>
      <t>C</t>
    </r>
    <r>
      <rPr>
        <sz val="11"/>
        <color theme="2" tint="-0.749992370372631"/>
        <rFont val="Calibri"/>
        <charset val="204"/>
        <scheme val="minor"/>
      </rPr>
      <t>)   extra strong</t>
    </r>
  </si>
  <si>
    <r>
      <rPr>
        <b/>
        <sz val="11"/>
        <color theme="2" tint="-0.749992370372631"/>
        <rFont val="Calibri"/>
        <charset val="204"/>
        <scheme val="minor"/>
      </rPr>
      <t>2600 - 5000</t>
    </r>
    <r>
      <rPr>
        <sz val="11"/>
        <color theme="2" tint="-0.749992370372631"/>
        <rFont val="Calibri"/>
        <charset val="204"/>
        <scheme val="minor"/>
      </rPr>
      <t>, h=250-6</t>
    </r>
    <r>
      <rPr>
        <sz val="11"/>
        <color theme="2" tint="-0.749992370372631"/>
        <rFont val="Calibri"/>
        <charset val="204"/>
      </rPr>
      <t>00 мм</t>
    </r>
  </si>
  <si>
    <r>
      <rPr>
        <b/>
        <sz val="26"/>
        <color theme="2" tint="-0.499984740745262"/>
        <rFont val="Segoe UI"/>
        <charset val="204"/>
      </rPr>
      <t>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SE</t>
    </r>
    <r>
      <rPr>
        <b/>
        <sz val="36"/>
        <color theme="2" tint="-0.749992370372631"/>
        <rFont val="Segoe UI"/>
        <charset val="204"/>
      </rPr>
      <t xml:space="preserve"> </t>
    </r>
  </si>
  <si>
    <t>calculator list SE:</t>
  </si>
  <si>
    <r>
      <rPr>
        <sz val="11"/>
        <color theme="2" tint="-0.749992370372631"/>
        <rFont val="Calibri"/>
        <charset val="204"/>
        <scheme val="minor"/>
      </rPr>
      <t>ТOP STAY  (SE00A</t>
    </r>
    <r>
      <rPr>
        <b/>
        <sz val="11"/>
        <color theme="2" tint="-0.749992370372631"/>
        <rFont val="Calibri"/>
        <charset val="204"/>
        <scheme val="minor"/>
      </rPr>
      <t>L</t>
    </r>
    <r>
      <rPr>
        <sz val="11"/>
        <color theme="2" tint="-0.749992370372631"/>
        <rFont val="Calibri"/>
        <charset val="204"/>
        <scheme val="minor"/>
      </rPr>
      <t>)    light</t>
    </r>
  </si>
  <si>
    <t>200 - 1000</t>
  </si>
  <si>
    <r>
      <rPr>
        <sz val="11"/>
        <color theme="2" tint="-0.749992370372631"/>
        <rFont val="Calibri"/>
        <charset val="204"/>
        <scheme val="minor"/>
      </rPr>
      <t>ТOP STAY  (SE00A</t>
    </r>
    <r>
      <rPr>
        <b/>
        <sz val="11"/>
        <color theme="2" tint="-0.749992370372631"/>
        <rFont val="Calibri"/>
        <charset val="204"/>
        <scheme val="minor"/>
      </rPr>
      <t>M</t>
    </r>
    <r>
      <rPr>
        <sz val="11"/>
        <color theme="2" tint="-0.749992370372631"/>
        <rFont val="Calibri"/>
        <charset val="204"/>
        <scheme val="minor"/>
      </rPr>
      <t>)  medium</t>
    </r>
  </si>
  <si>
    <t>500 - 1500</t>
  </si>
  <si>
    <r>
      <rPr>
        <sz val="11"/>
        <color theme="2" tint="-0.749992370372631"/>
        <rFont val="Calibri"/>
        <charset val="204"/>
        <scheme val="minor"/>
      </rPr>
      <t>ТOP STAY  (SE00A</t>
    </r>
    <r>
      <rPr>
        <b/>
        <sz val="11"/>
        <color theme="2" tint="-0.749992370372631"/>
        <rFont val="Calibri"/>
        <charset val="204"/>
        <scheme val="minor"/>
      </rPr>
      <t>H</t>
    </r>
    <r>
      <rPr>
        <sz val="11"/>
        <color theme="2" tint="-0.749992370372631"/>
        <rFont val="Calibri"/>
        <charset val="204"/>
        <scheme val="minor"/>
      </rPr>
      <t>)   strong</t>
    </r>
  </si>
  <si>
    <t>960 - 2350</t>
  </si>
  <si>
    <r>
      <rPr>
        <b/>
        <sz val="26"/>
        <color theme="2" tint="-0.499984740745262"/>
        <rFont val="Segoe UI"/>
        <charset val="204"/>
      </rPr>
      <t>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SE push</t>
    </r>
    <r>
      <rPr>
        <b/>
        <sz val="36"/>
        <color theme="2" tint="-0.749992370372631"/>
        <rFont val="Segoe UI"/>
        <charset val="204"/>
      </rPr>
      <t xml:space="preserve"> </t>
    </r>
  </si>
  <si>
    <r>
      <rPr>
        <sz val="11"/>
        <color theme="2" tint="-0.749992370372631"/>
        <rFont val="Calibri"/>
        <charset val="204"/>
        <scheme val="minor"/>
      </rPr>
      <t>ТOP STAY  (SE2FA</t>
    </r>
    <r>
      <rPr>
        <b/>
        <sz val="11"/>
        <color theme="2" tint="-0.749992370372631"/>
        <rFont val="Calibri"/>
        <charset val="204"/>
        <scheme val="minor"/>
      </rPr>
      <t>L</t>
    </r>
    <r>
      <rPr>
        <sz val="11"/>
        <color theme="2" tint="-0.749992370372631"/>
        <rFont val="Calibri"/>
        <charset val="204"/>
        <scheme val="minor"/>
      </rPr>
      <t>)    light</t>
    </r>
  </si>
  <si>
    <r>
      <rPr>
        <sz val="11"/>
        <color theme="2" tint="-0.749992370372631"/>
        <rFont val="Calibri"/>
        <charset val="204"/>
        <scheme val="minor"/>
      </rPr>
      <t>ТOP STAY  (SE2FA</t>
    </r>
    <r>
      <rPr>
        <b/>
        <sz val="11"/>
        <color theme="2" tint="-0.749992370372631"/>
        <rFont val="Calibri"/>
        <charset val="204"/>
        <scheme val="minor"/>
      </rPr>
      <t>M</t>
    </r>
    <r>
      <rPr>
        <sz val="11"/>
        <color theme="2" tint="-0.749992370372631"/>
        <rFont val="Calibri"/>
        <charset val="204"/>
        <scheme val="minor"/>
      </rPr>
      <t>)  medium</t>
    </r>
  </si>
  <si>
    <t>500 - 1400</t>
  </si>
  <si>
    <r>
      <rPr>
        <sz val="11"/>
        <color theme="2" tint="-0.749992370372631"/>
        <rFont val="Calibri"/>
        <charset val="204"/>
        <scheme val="minor"/>
      </rPr>
      <t>ТOP STAY  (SE2FA</t>
    </r>
    <r>
      <rPr>
        <b/>
        <sz val="11"/>
        <color theme="2" tint="-0.749992370372631"/>
        <rFont val="Calibri"/>
        <charset val="204"/>
        <scheme val="minor"/>
      </rPr>
      <t>H</t>
    </r>
    <r>
      <rPr>
        <sz val="11"/>
        <color theme="2" tint="-0.749992370372631"/>
        <rFont val="Calibri"/>
        <charset val="204"/>
        <scheme val="minor"/>
      </rPr>
      <t>)   strong</t>
    </r>
  </si>
  <si>
    <t>960 - 2050</t>
  </si>
  <si>
    <r>
      <rPr>
        <b/>
        <sz val="26"/>
        <color theme="2" tint="-0.499984740745262"/>
        <rFont val="Segoe UI"/>
        <charset val="204"/>
      </rPr>
      <t>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ST</t>
    </r>
    <r>
      <rPr>
        <b/>
        <sz val="36"/>
        <color theme="2" tint="-0.749992370372631"/>
        <rFont val="Segoe UI"/>
        <charset val="204"/>
      </rPr>
      <t xml:space="preserve"> </t>
    </r>
  </si>
  <si>
    <t>calculator list ST: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</si>
  <si>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01AL</t>
    </r>
    <r>
      <rPr>
        <sz val="11"/>
        <color theme="2" tint="-0.749992370372631"/>
        <rFont val="Calibri"/>
        <charset val="204"/>
        <scheme val="minor"/>
      </rPr>
      <t>)    light</t>
    </r>
  </si>
  <si>
    <t>5,0 - 10,0</t>
  </si>
  <si>
    <t>480 - 529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</si>
  <si>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01AM</t>
    </r>
    <r>
      <rPr>
        <sz val="11"/>
        <color theme="2" tint="-0.749992370372631"/>
        <rFont val="Calibri"/>
        <charset val="204"/>
        <scheme val="minor"/>
      </rPr>
      <t>)  medium</t>
    </r>
  </si>
  <si>
    <t>9,6 - 16,0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</si>
  <si>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02AL</t>
    </r>
    <r>
      <rPr>
        <sz val="11"/>
        <color theme="2" tint="-0.749992370372631"/>
        <rFont val="Calibri"/>
        <charset val="204"/>
        <scheme val="minor"/>
      </rPr>
      <t>)    light</t>
    </r>
  </si>
  <si>
    <t>4,5 - 8,9</t>
  </si>
  <si>
    <t>530 - 589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</si>
  <si>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02AM</t>
    </r>
    <r>
      <rPr>
        <sz val="11"/>
        <color theme="2" tint="-0.749992370372631"/>
        <rFont val="Calibri"/>
        <charset val="204"/>
        <scheme val="minor"/>
      </rPr>
      <t>)  medium</t>
    </r>
  </si>
  <si>
    <t>8,7 - 14,4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</si>
  <si>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03AL</t>
    </r>
    <r>
      <rPr>
        <sz val="11"/>
        <color theme="2" tint="-0.749992370372631"/>
        <rFont val="Calibri"/>
        <charset val="204"/>
        <scheme val="minor"/>
      </rPr>
      <t>)    light</t>
    </r>
  </si>
  <si>
    <t>4,1 - 8,1</t>
  </si>
  <si>
    <t>590 - 649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</si>
  <si>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03AM</t>
    </r>
    <r>
      <rPr>
        <sz val="11"/>
        <color theme="2" tint="-0.749992370372631"/>
        <rFont val="Calibri"/>
        <charset val="204"/>
        <scheme val="minor"/>
      </rPr>
      <t>)  medium</t>
    </r>
  </si>
  <si>
    <t>7,8 - 13,0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</si>
  <si>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04AL</t>
    </r>
    <r>
      <rPr>
        <sz val="11"/>
        <color theme="2" tint="-0.749992370372631"/>
        <rFont val="Calibri"/>
        <charset val="204"/>
        <scheme val="minor"/>
      </rPr>
      <t>)    light</t>
    </r>
  </si>
  <si>
    <t>3,7 - 7,2</t>
  </si>
  <si>
    <t>650 - 729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</si>
  <si>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04AM</t>
    </r>
    <r>
      <rPr>
        <sz val="11"/>
        <color theme="2" tint="-0.749992370372631"/>
        <rFont val="Calibri"/>
        <charset val="204"/>
        <scheme val="minor"/>
      </rPr>
      <t>)  medium</t>
    </r>
  </si>
  <si>
    <t>7,0 - 11,6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</si>
  <si>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04AH)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</si>
  <si>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11,5 - 19,8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</si>
  <si>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05AL</t>
    </r>
    <r>
      <rPr>
        <sz val="11"/>
        <color theme="2" tint="-0.749992370372631"/>
        <rFont val="Calibri"/>
        <charset val="204"/>
        <scheme val="minor"/>
      </rPr>
      <t>)    light</t>
    </r>
  </si>
  <si>
    <t>3,2 - 6,5</t>
  </si>
  <si>
    <t>730 - 799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</si>
  <si>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05AM</t>
    </r>
    <r>
      <rPr>
        <sz val="11"/>
        <color theme="2" tint="-0.749992370372631"/>
        <rFont val="Calibri"/>
        <charset val="204"/>
        <scheme val="minor"/>
      </rPr>
      <t>)  medium</t>
    </r>
  </si>
  <si>
    <t>6,3 - 10,6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</si>
  <si>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05AH)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</si>
  <si>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10,5 - 18,1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</si>
  <si>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06AM</t>
    </r>
    <r>
      <rPr>
        <sz val="11"/>
        <color theme="2" tint="-0.749992370372631"/>
        <rFont val="Calibri"/>
        <charset val="204"/>
        <scheme val="minor"/>
      </rPr>
      <t>)  medium</t>
    </r>
  </si>
  <si>
    <t>5,8 - 9,6</t>
  </si>
  <si>
    <t>800 - 879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</si>
  <si>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06AH)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</si>
  <si>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9,5 - 16,5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</si>
  <si>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07AM</t>
    </r>
    <r>
      <rPr>
        <sz val="11"/>
        <color theme="2" tint="-0.749992370372631"/>
        <rFont val="Calibri"/>
        <charset val="204"/>
        <scheme val="minor"/>
      </rPr>
      <t>)  medium</t>
    </r>
  </si>
  <si>
    <t>5,2 - 8,8</t>
  </si>
  <si>
    <t>880 - 959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</si>
  <si>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07AH)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</si>
  <si>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8,7 - 15,1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</si>
  <si>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08AM)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</si>
  <si>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4,8 - 8,1</t>
  </si>
  <si>
    <t>960 - 1040</t>
  </si>
  <si>
    <r>
      <rPr>
        <sz val="11"/>
        <color theme="2" tint="-0.749992370372631"/>
        <rFont val="Calibri"/>
        <charset val="204"/>
        <scheme val="minor"/>
      </rPr>
      <t>ТOP STAY  (ST</t>
    </r>
    <r>
      <rPr>
        <b/>
        <sz val="11"/>
        <color theme="2" tint="-0.749992370372631"/>
        <rFont val="Calibri"/>
        <charset val="204"/>
        <scheme val="minor"/>
      </rPr>
      <t>08AH)</t>
    </r>
    <r>
      <rPr>
        <sz val="11"/>
        <color theme="2" tint="-0.749992370372631"/>
        <rFont val="Calibri"/>
        <charset val="204"/>
        <scheme val="minor"/>
      </rPr>
      <t xml:space="preserve">   strong</t>
    </r>
  </si>
  <si>
    <t>8,0 - 13,9</t>
  </si>
  <si>
    <r>
      <rPr>
        <b/>
        <sz val="26"/>
        <color theme="2" tint="-0.499984740745262"/>
        <rFont val="Segoe UI"/>
        <charset val="204"/>
      </rPr>
      <t xml:space="preserve">   TOP STAY</t>
    </r>
    <r>
      <rPr>
        <b/>
        <sz val="26"/>
        <color theme="2" tint="-0.749992370372631"/>
        <rFont val="Segoe UI"/>
        <charset val="204"/>
      </rPr>
      <t xml:space="preserve"> </t>
    </r>
    <r>
      <rPr>
        <b/>
        <sz val="26"/>
        <color rgb="FFC00000"/>
        <rFont val="Segoe UI"/>
        <charset val="204"/>
      </rPr>
      <t>SK</t>
    </r>
    <r>
      <rPr>
        <b/>
        <sz val="36"/>
        <color theme="2" tint="-0.749992370372631"/>
        <rFont val="Segoe UI"/>
        <charset val="204"/>
      </rPr>
      <t xml:space="preserve"> </t>
    </r>
  </si>
  <si>
    <t>calculator list SK:</t>
  </si>
  <si>
    <t>ТOP STAY SK (D) super light</t>
  </si>
  <si>
    <t>1,3 - 4,2</t>
  </si>
  <si>
    <t>300 - 349</t>
  </si>
  <si>
    <t>1,5 - 2,5</t>
  </si>
  <si>
    <t>350 - 399</t>
  </si>
  <si>
    <t>ТOP STAY SK (L) light</t>
  </si>
  <si>
    <t>3,5 - 7,2</t>
  </si>
  <si>
    <t xml:space="preserve">2,5 - 5,0 </t>
  </si>
  <si>
    <t>2,0 - 3,5</t>
  </si>
  <si>
    <t>400 - 550</t>
  </si>
  <si>
    <t>ТOP STAY SK (M) medium</t>
  </si>
  <si>
    <t>6,5 - 12,0</t>
  </si>
  <si>
    <t>4,5 - 9,0</t>
  </si>
  <si>
    <t>2,8 - 6,5</t>
  </si>
  <si>
    <t>2,0 - 5,2</t>
  </si>
  <si>
    <t>450 - 580</t>
  </si>
  <si>
    <t>ТOP STAY SK (H) strong</t>
  </si>
  <si>
    <t>11,0 - 20,0</t>
  </si>
  <si>
    <t xml:space="preserve">8,0 - 14,5 </t>
  </si>
  <si>
    <t>5,8 - 11,5</t>
  </si>
  <si>
    <t>4,2 - 9,2</t>
  </si>
  <si>
    <t>ТOP STAY SK (С) super strong</t>
  </si>
  <si>
    <t>13,5 - 20,0</t>
  </si>
  <si>
    <t xml:space="preserve">10,5 -20,0 </t>
  </si>
  <si>
    <t>8,3 - 16,5</t>
  </si>
  <si>
    <t>введите размеры фасада и вес ручки</t>
  </si>
  <si>
    <t>высота, в мм (макс. 600мм)</t>
  </si>
  <si>
    <t>ширина, в мм</t>
  </si>
  <si>
    <t>вес ручки в граммах</t>
  </si>
  <si>
    <t>ЛДСП 16 мм</t>
  </si>
  <si>
    <t>ЛДСП 18 мм</t>
  </si>
  <si>
    <t>МДФ 16 мм</t>
  </si>
  <si>
    <t>МДФ 18/19 мм</t>
  </si>
  <si>
    <t>МДФ 22 мм</t>
  </si>
  <si>
    <t>массив дерева 16 мм</t>
  </si>
  <si>
    <t>массив дерева 18 мм</t>
  </si>
  <si>
    <t>массив дерева 22 мм</t>
  </si>
  <si>
    <t>алюминевая рамка</t>
  </si>
  <si>
    <t>коэффицент мощности (LF)</t>
  </si>
  <si>
    <t>белая заглушка</t>
  </si>
  <si>
    <t>серая заглушка</t>
  </si>
  <si>
    <t>рекомендуемая модель</t>
  </si>
  <si>
    <t>когда фасад большой, нужно использовать 3-й механизм к стандартному комплекту</t>
  </si>
  <si>
    <t>Выберите модель подъемного механизма Top Stays SQ, соответствующую указанному выше весу двери и коэффициенту мощности. Значение индекса должно находиться в пределах значений, установленных для данного механизма. Чем ближе индекс к среднему значению, тем легче будет отрегулировать механизм. Если значение находится в пределах диапазона, выберите более мощную модель.</t>
  </si>
  <si>
    <t>комплект</t>
  </si>
  <si>
    <t>артикул</t>
  </si>
  <si>
    <t>диапазон коэффицента мощности высоты фасада</t>
  </si>
  <si>
    <t>Среднее значение коэффицента мощности</t>
  </si>
  <si>
    <t>https://www.instagram.com/dtc_centralasia?igsh=MXFzYjFnMnU0OHhoZg%3D%3D&amp;utm_source=qr</t>
  </si>
  <si>
    <t xml:space="preserve">                                                                   введите размеры фасада и вес ручки </t>
  </si>
  <si>
    <t>Выберите материал фасада из выпадающего списка и узнайте его вес</t>
  </si>
  <si>
    <t>Выберите материал фасада из выпадающего списка и получите его вес и коэффициент мощности.</t>
  </si>
  <si>
    <t>вес фасада, в kg</t>
  </si>
  <si>
    <t>высота фасада, в мм</t>
  </si>
  <si>
    <t>рекомендуемая модель (один комплект)</t>
  </si>
  <si>
    <t>один комплект</t>
  </si>
  <si>
    <t>два комплекта</t>
  </si>
  <si>
    <t>Выберите модель подъемного механизма Top Stays SE, соответствующую указанному выше весу фасада и коэффициенту мощности. Значение индекса должно находиться в пределах значений, установленных для данного механизма. Чем ближе коэффициент мощности к среднему значению, тем легче будет отрегулировать механизм. Если значение находится в пределах диапазона, выберите более мощную модель.</t>
  </si>
  <si>
    <t>массив 16 мм</t>
  </si>
  <si>
    <t>массив 18 мм</t>
  </si>
  <si>
    <t>массив 22 мм</t>
  </si>
  <si>
    <t>Артикул</t>
  </si>
  <si>
    <t>диапазон коэффицента мощности</t>
  </si>
  <si>
    <t>Выберите модель подъемного механизма Top Stays SE, соответствующую указанному выше весу двери и коэффициенту мощности. Значение индекса должно находиться в пределах значений, установленных для данного механизма. Чем ближе коэффициент мощности к среднему значению, тем легче будет отрегулировать механизм. Если значение находится в пределах диапазона, выберите более мощную модель.</t>
  </si>
  <si>
    <r>
      <rPr>
        <b/>
        <sz val="11"/>
        <color theme="2" tint="-0.749992370372631"/>
        <rFont val="Calibri"/>
        <charset val="204"/>
        <scheme val="minor"/>
      </rPr>
      <t xml:space="preserve">высота, </t>
    </r>
    <r>
      <rPr>
        <sz val="11"/>
        <color theme="2" tint="-0.749992370372631"/>
        <rFont val="Calibri"/>
        <charset val="204"/>
        <scheme val="minor"/>
      </rPr>
      <t xml:space="preserve"> в мм (макс. 1040мм)</t>
    </r>
  </si>
  <si>
    <r>
      <rPr>
        <b/>
        <sz val="11"/>
        <color theme="2" tint="-0.749992370372631"/>
        <rFont val="Calibri"/>
        <charset val="204"/>
        <scheme val="minor"/>
      </rPr>
      <t>ширина</t>
    </r>
    <r>
      <rPr>
        <sz val="11"/>
        <color theme="2" tint="-0.749992370372631"/>
        <rFont val="Calibri"/>
        <charset val="204"/>
        <scheme val="minor"/>
      </rPr>
      <t>, в мм</t>
    </r>
  </si>
  <si>
    <r>
      <rPr>
        <b/>
        <sz val="11"/>
        <color theme="2" tint="-0.749992370372631"/>
        <rFont val="Calibri"/>
        <charset val="204"/>
        <scheme val="minor"/>
      </rPr>
      <t>высота</t>
    </r>
    <r>
      <rPr>
        <sz val="11"/>
        <color theme="2" tint="-0.749992370372631"/>
        <rFont val="Calibri"/>
        <charset val="204"/>
        <scheme val="minor"/>
      </rPr>
      <t xml:space="preserve">, в мм (макс. 580) </t>
    </r>
  </si>
  <si>
    <t xml:space="preserve">Выберите механизм Top Stay SK, соответствующий указанному выше весу и высоте фасада. Вес и высота фасада должны находиться в пределах допустимых значений для каждого отдельного элемента механизма. Чем ближе ваши значения к средним значениям веса и высоты, тем проще будет отрегулировать механизм. </t>
  </si>
  <si>
    <t>рекомендуемая модель с белой заглушкой</t>
  </si>
  <si>
    <t>рекомендуемая модель с серой заглушкой</t>
  </si>
  <si>
    <t>Выберите плечо рычага SK, соответствующее высоте фасада, и добавьте их в заказ. Для повышения эффективности выберите более короткое плечо в области дублирования значений.</t>
  </si>
  <si>
    <t>рычаги</t>
  </si>
  <si>
    <t>рекомендуемая модель рычага</t>
  </si>
  <si>
    <t>комплект рычагов ТOP STAY SK 300-349</t>
  </si>
  <si>
    <t>комплект рычагов ТOP STAY SK 350-399</t>
  </si>
  <si>
    <t>комплект рычагов ТOP STAY SK 400-550</t>
  </si>
  <si>
    <t>комплект рычагов ТOP STAY SK 450-580</t>
  </si>
  <si>
    <t>Выберите механизм Top Stay ST, соответствующий указанному выше весу и высоте фасада. Вес и высота фасада должны находиться в пределах допустимых значений для каждой отдельной модели механизма. Чем ближе ваши значения к средним значениям веса и высоты, тем проще будет отрегулировать механизм. Если вес близок к границе диапазона, выберите модель, рассчитанную на больший вес.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</si>
</sst>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36"/>
      <color theme="2" tint="-0.749992370372631"/>
      <name val="Segoe UI"/>
      <charset val="204"/>
    </font>
    <font>
      <b/>
      <sz val="11"/>
      <color theme="0" tint="-4.9989318521683403E-2"/>
      <name val="Calibri"/>
      <charset val="204"/>
      <scheme val="minor"/>
    </font>
    <font>
      <sz val="11"/>
      <color theme="0" tint="-4.9989318521683403E-2"/>
      <name val="Calibri"/>
      <charset val="204"/>
      <scheme val="minor"/>
    </font>
    <font>
      <sz val="11"/>
      <color theme="2" tint="-0.749992370372631"/>
      <name val="Calibri"/>
      <charset val="204"/>
      <scheme val="minor"/>
    </font>
    <font>
      <b/>
      <sz val="16"/>
      <color theme="2" tint="-0.749992370372631"/>
      <name val="Calibri"/>
      <charset val="204"/>
      <scheme val="minor"/>
    </font>
    <font>
      <b/>
      <sz val="11"/>
      <color theme="2" tint="-0.749992370372631"/>
      <name val="Calibri"/>
      <charset val="204"/>
      <scheme val="minor"/>
    </font>
    <font>
      <b/>
      <sz val="11"/>
      <color theme="2" tint="-0.749992370372631"/>
      <name val="Calibri"/>
      <charset val="134"/>
      <scheme val="minor"/>
    </font>
    <font>
      <sz val="11"/>
      <color rgb="FF006100"/>
      <name val="Calibri"/>
      <charset val="204"/>
      <scheme val="minor"/>
    </font>
    <font>
      <b/>
      <sz val="15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b/>
      <sz val="11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u/>
      <sz val="11"/>
      <color theme="10"/>
      <name val="Calibri"/>
      <charset val="134"/>
      <scheme val="minor"/>
    </font>
    <font>
      <b/>
      <sz val="10"/>
      <color theme="2" tint="-0.749992370372631"/>
      <name val="Calibri"/>
      <charset val="204"/>
      <scheme val="minor"/>
    </font>
    <font>
      <b/>
      <sz val="12"/>
      <color theme="1"/>
      <name val="Calibri"/>
      <charset val="134"/>
      <scheme val="minor"/>
    </font>
    <font>
      <sz val="11"/>
      <color theme="2" tint="-0.749992370372631"/>
      <name val="Calibri"/>
      <charset val="134"/>
      <scheme val="minor"/>
    </font>
    <font>
      <b/>
      <sz val="12"/>
      <color rgb="FFFFC000"/>
      <name val="Calibri"/>
      <charset val="134"/>
      <scheme val="minor"/>
    </font>
    <font>
      <b/>
      <sz val="11"/>
      <color rgb="FFFFC000"/>
      <name val="Calibri"/>
      <charset val="134"/>
      <scheme val="minor"/>
    </font>
    <font>
      <b/>
      <sz val="26"/>
      <color theme="2" tint="-0.749992370372631"/>
      <name val="Segoe UI"/>
      <charset val="204"/>
    </font>
    <font>
      <b/>
      <sz val="11"/>
      <color theme="1"/>
      <name val="Calibri"/>
      <charset val="134"/>
      <scheme val="minor"/>
    </font>
    <font>
      <sz val="11"/>
      <color rgb="FF9C6500"/>
      <name val="Calibri"/>
      <charset val="204"/>
      <scheme val="minor"/>
    </font>
    <font>
      <sz val="11"/>
      <color theme="2" tint="-0.749992370372631"/>
      <name val="Calibri"/>
      <charset val="204"/>
    </font>
    <font>
      <sz val="11"/>
      <color theme="2" tint="-0.749992370372631"/>
      <name val="等线"/>
      <charset val="134"/>
    </font>
    <font>
      <b/>
      <sz val="26"/>
      <color theme="2" tint="-0.499984740745262"/>
      <name val="Segoe UI"/>
      <charset val="204"/>
    </font>
    <font>
      <b/>
      <sz val="26"/>
      <color rgb="FFC00000"/>
      <name val="Segoe UI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2" tint="-0.74999237037263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  <font>
      <sz val="11"/>
      <color theme="2" tint="-0.749992370372631"/>
      <name val="Calibri"/>
      <family val="2"/>
      <charset val="204"/>
      <scheme val="minor"/>
    </font>
    <font>
      <b/>
      <sz val="10"/>
      <color theme="2" tint="-0.74999237037263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1C3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24" fillId="10" borderId="0" applyNumberFormat="0" applyBorder="0" applyAlignment="0" applyProtection="0"/>
  </cellStyleXfs>
  <cellXfs count="185">
    <xf numFmtId="0" fontId="0" fillId="0" borderId="0" xfId="0"/>
    <xf numFmtId="0" fontId="5" fillId="3" borderId="10" xfId="3" applyFont="1" applyFill="1" applyBorder="1" applyAlignment="1" applyProtection="1">
      <alignment horizontal="center" vertical="center"/>
      <protection hidden="1"/>
    </xf>
    <xf numFmtId="0" fontId="8" fillId="0" borderId="13" xfId="2" applyFont="1" applyFill="1" applyBorder="1" applyAlignment="1" applyProtection="1">
      <alignment horizontal="center" vertical="center"/>
      <protection locked="0" hidden="1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3" borderId="10" xfId="2" applyFont="1" applyFill="1" applyBorder="1" applyAlignment="1" applyProtection="1">
      <alignment horizontal="left" vertical="center"/>
      <protection hidden="1"/>
    </xf>
    <xf numFmtId="0" fontId="7" fillId="3" borderId="10" xfId="2" applyFont="1" applyFill="1" applyBorder="1" applyAlignment="1" applyProtection="1">
      <alignment horizontal="center"/>
      <protection hidden="1"/>
    </xf>
    <xf numFmtId="0" fontId="14" fillId="4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3" borderId="13" xfId="2" applyFont="1" applyFill="1" applyBorder="1" applyAlignment="1" applyProtection="1">
      <alignment horizontal="left" vertical="center"/>
      <protection hidden="1"/>
    </xf>
    <xf numFmtId="0" fontId="7" fillId="3" borderId="13" xfId="2" applyFont="1" applyFill="1" applyBorder="1" applyAlignment="1" applyProtection="1">
      <alignment horizontal="center"/>
      <protection hidden="1"/>
    </xf>
    <xf numFmtId="0" fontId="14" fillId="4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0" xfId="0" applyBorder="1"/>
    <xf numFmtId="0" fontId="0" fillId="0" borderId="10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>
      <alignment vertical="center" wrapText="1"/>
    </xf>
    <xf numFmtId="0" fontId="17" fillId="3" borderId="34" xfId="3" applyFont="1" applyFill="1" applyBorder="1" applyAlignment="1" applyProtection="1">
      <alignment horizontal="center" vertical="center"/>
      <protection hidden="1"/>
    </xf>
    <xf numFmtId="0" fontId="5" fillId="0" borderId="36" xfId="2" applyFont="1" applyFill="1" applyBorder="1" applyAlignment="1" applyProtection="1">
      <alignment horizontal="center" vertical="center"/>
      <protection locked="0" hidden="1"/>
    </xf>
    <xf numFmtId="0" fontId="5" fillId="0" borderId="23" xfId="2" applyFont="1" applyFill="1" applyBorder="1" applyAlignment="1" applyProtection="1">
      <alignment horizontal="center" vertical="center"/>
      <protection locked="0" hidden="1"/>
    </xf>
    <xf numFmtId="0" fontId="5" fillId="0" borderId="37" xfId="2" applyFont="1" applyFill="1" applyBorder="1" applyAlignment="1" applyProtection="1">
      <alignment horizontal="center" vertical="center"/>
      <protection locked="0" hidden="1"/>
    </xf>
    <xf numFmtId="2" fontId="7" fillId="3" borderId="23" xfId="0" applyNumberFormat="1" applyFont="1" applyFill="1" applyBorder="1" applyAlignment="1" applyProtection="1">
      <alignment horizontal="center" vertical="center"/>
      <protection hidden="1"/>
    </xf>
    <xf numFmtId="0" fontId="5" fillId="3" borderId="9" xfId="2" applyFont="1" applyFill="1" applyBorder="1" applyAlignment="1" applyProtection="1">
      <alignment horizontal="left" vertical="center"/>
      <protection hidden="1"/>
    </xf>
    <xf numFmtId="0" fontId="14" fillId="7" borderId="28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5" fillId="3" borderId="12" xfId="2" applyFont="1" applyFill="1" applyBorder="1" applyAlignment="1" applyProtection="1">
      <alignment horizontal="left" vertical="center"/>
      <protection hidden="1"/>
    </xf>
    <xf numFmtId="0" fontId="14" fillId="7" borderId="3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0" fillId="0" borderId="13" xfId="0" applyBorder="1" applyProtection="1">
      <protection locked="0" hidden="1"/>
    </xf>
    <xf numFmtId="0" fontId="8" fillId="3" borderId="32" xfId="3" applyFont="1" applyFill="1" applyBorder="1" applyAlignment="1" applyProtection="1">
      <alignment horizontal="center" vertical="center"/>
      <protection hidden="1"/>
    </xf>
    <xf numFmtId="0" fontId="8" fillId="3" borderId="33" xfId="3" applyFont="1" applyFill="1" applyBorder="1" applyAlignment="1" applyProtection="1">
      <alignment horizontal="center" vertical="center"/>
      <protection hidden="1"/>
    </xf>
    <xf numFmtId="2" fontId="5" fillId="3" borderId="13" xfId="0" applyNumberFormat="1" applyFont="1" applyFill="1" applyBorder="1" applyAlignment="1" applyProtection="1">
      <alignment horizontal="center" vertical="center"/>
      <protection hidden="1"/>
    </xf>
    <xf numFmtId="2" fontId="8" fillId="8" borderId="7" xfId="0" applyNumberFormat="1" applyFont="1" applyFill="1" applyBorder="1" applyAlignment="1" applyProtection="1">
      <alignment horizontal="center" vertical="center"/>
      <protection hidden="1"/>
    </xf>
    <xf numFmtId="0" fontId="18" fillId="8" borderId="23" xfId="0" applyFont="1" applyFill="1" applyBorder="1" applyAlignment="1">
      <alignment horizontal="center" vertical="center" wrapText="1"/>
    </xf>
    <xf numFmtId="0" fontId="8" fillId="3" borderId="9" xfId="3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5" fillId="3" borderId="10" xfId="2" applyFont="1" applyFill="1" applyBorder="1" applyAlignment="1" applyProtection="1">
      <alignment horizontal="center"/>
      <protection hidden="1"/>
    </xf>
    <xf numFmtId="0" fontId="5" fillId="3" borderId="36" xfId="2" applyFont="1" applyFill="1" applyBorder="1" applyAlignment="1" applyProtection="1">
      <alignment horizontal="left" vertical="center"/>
      <protection hidden="1"/>
    </xf>
    <xf numFmtId="0" fontId="5" fillId="3" borderId="23" xfId="2" applyFont="1" applyFill="1" applyBorder="1" applyAlignment="1" applyProtection="1">
      <alignment horizontal="center"/>
      <protection hidden="1"/>
    </xf>
    <xf numFmtId="2" fontId="5" fillId="3" borderId="23" xfId="0" applyNumberFormat="1" applyFont="1" applyFill="1" applyBorder="1" applyAlignment="1" applyProtection="1">
      <alignment horizontal="center" vertical="center"/>
      <protection hidden="1"/>
    </xf>
    <xf numFmtId="0" fontId="13" fillId="2" borderId="7" xfId="2" applyFont="1" applyFill="1" applyBorder="1" applyAlignment="1" applyProtection="1">
      <alignment horizontal="center" vertical="center" wrapText="1"/>
      <protection hidden="1"/>
    </xf>
    <xf numFmtId="0" fontId="13" fillId="2" borderId="10" xfId="2" applyFont="1" applyFill="1" applyBorder="1" applyAlignment="1" applyProtection="1">
      <alignment horizontal="center" vertical="center" wrapText="1"/>
      <protection hidden="1"/>
    </xf>
    <xf numFmtId="0" fontId="18" fillId="8" borderId="10" xfId="0" applyFont="1" applyFill="1" applyBorder="1" applyAlignment="1">
      <alignment horizontal="center" vertical="center" wrapText="1"/>
    </xf>
    <xf numFmtId="0" fontId="13" fillId="2" borderId="23" xfId="2" applyFont="1" applyFill="1" applyBorder="1" applyAlignment="1" applyProtection="1">
      <alignment horizontal="center" vertical="center" wrapText="1"/>
      <protection hidden="1"/>
    </xf>
    <xf numFmtId="0" fontId="14" fillId="8" borderId="23" xfId="0" applyFont="1" applyFill="1" applyBorder="1" applyAlignment="1">
      <alignment horizontal="center" vertical="center" wrapText="1"/>
    </xf>
    <xf numFmtId="0" fontId="7" fillId="3" borderId="34" xfId="3" applyFont="1" applyFill="1" applyBorder="1" applyAlignment="1" applyProtection="1">
      <alignment horizontal="center" vertical="center"/>
      <protection hidden="1"/>
    </xf>
    <xf numFmtId="0" fontId="23" fillId="0" borderId="0" xfId="3" applyFont="1" applyFill="1" applyBorder="1" applyAlignment="1" applyProtection="1">
      <alignment horizontal="center" vertical="center"/>
      <protection hidden="1"/>
    </xf>
    <xf numFmtId="0" fontId="23" fillId="0" borderId="0" xfId="3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2" fillId="0" borderId="25" xfId="0" applyFont="1" applyBorder="1" applyAlignment="1" applyProtection="1">
      <alignment horizontal="left" vertical="center"/>
      <protection hidden="1"/>
    </xf>
    <xf numFmtId="0" fontId="2" fillId="0" borderId="26" xfId="0" applyFont="1" applyBorder="1" applyAlignment="1" applyProtection="1">
      <alignment horizontal="left" vertical="center"/>
      <protection hidden="1"/>
    </xf>
    <xf numFmtId="0" fontId="2" fillId="0" borderId="27" xfId="0" applyFont="1" applyBorder="1" applyAlignment="1" applyProtection="1">
      <alignment horizontal="left" vertical="center"/>
      <protection hidden="1"/>
    </xf>
    <xf numFmtId="0" fontId="16" fillId="0" borderId="1" xfId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3" borderId="10" xfId="2" applyFont="1" applyFill="1" applyBorder="1" applyAlignment="1" applyProtection="1">
      <alignment horizontal="center"/>
      <protection hidden="1"/>
    </xf>
    <xf numFmtId="0" fontId="7" fillId="3" borderId="11" xfId="2" applyFont="1" applyFill="1" applyBorder="1" applyAlignment="1" applyProtection="1">
      <alignment horizontal="center"/>
      <protection hidden="1"/>
    </xf>
    <xf numFmtId="0" fontId="7" fillId="3" borderId="23" xfId="2" applyFont="1" applyFill="1" applyBorder="1" applyAlignment="1" applyProtection="1">
      <alignment horizontal="center"/>
      <protection hidden="1"/>
    </xf>
    <xf numFmtId="0" fontId="7" fillId="3" borderId="37" xfId="2" applyFont="1" applyFill="1" applyBorder="1" applyAlignment="1" applyProtection="1">
      <alignment horizontal="center"/>
      <protection hidden="1"/>
    </xf>
    <xf numFmtId="0" fontId="3" fillId="2" borderId="38" xfId="2" applyFont="1" applyFill="1" applyBorder="1" applyAlignment="1" applyProtection="1">
      <alignment horizontal="center" vertical="center"/>
      <protection hidden="1"/>
    </xf>
    <xf numFmtId="0" fontId="3" fillId="2" borderId="28" xfId="2" applyFont="1" applyFill="1" applyBorder="1" applyAlignment="1" applyProtection="1">
      <alignment horizontal="center" vertical="center"/>
      <protection hidden="1"/>
    </xf>
    <xf numFmtId="0" fontId="3" fillId="2" borderId="35" xfId="2" applyFont="1" applyFill="1" applyBorder="1" applyAlignment="1" applyProtection="1">
      <alignment horizontal="center" vertical="center"/>
      <protection hidden="1"/>
    </xf>
    <xf numFmtId="0" fontId="3" fillId="2" borderId="15" xfId="2" applyFont="1" applyFill="1" applyBorder="1" applyAlignment="1" applyProtection="1">
      <alignment horizontal="center" vertical="center"/>
      <protection hidden="1"/>
    </xf>
    <xf numFmtId="0" fontId="3" fillId="2" borderId="16" xfId="2" applyFont="1" applyFill="1" applyBorder="1" applyAlignment="1" applyProtection="1">
      <alignment horizontal="center" vertical="center"/>
      <protection hidden="1"/>
    </xf>
    <xf numFmtId="0" fontId="3" fillId="2" borderId="20" xfId="2" applyFont="1" applyFill="1" applyBorder="1" applyAlignment="1" applyProtection="1">
      <alignment horizontal="center" vertical="center"/>
      <protection hidden="1"/>
    </xf>
    <xf numFmtId="0" fontId="9" fillId="2" borderId="12" xfId="2" applyFill="1" applyBorder="1" applyAlignment="1" applyProtection="1">
      <alignment horizontal="center"/>
      <protection hidden="1"/>
    </xf>
    <xf numFmtId="0" fontId="9" fillId="2" borderId="20" xfId="2" applyFill="1" applyBorder="1" applyAlignment="1" applyProtection="1">
      <alignment horizontal="center"/>
      <protection hidden="1"/>
    </xf>
    <xf numFmtId="0" fontId="4" fillId="2" borderId="39" xfId="2" applyFont="1" applyFill="1" applyBorder="1" applyAlignment="1" applyProtection="1">
      <alignment horizontal="center" vertical="center" wrapText="1"/>
      <protection hidden="1"/>
    </xf>
    <xf numFmtId="0" fontId="4" fillId="2" borderId="40" xfId="2" applyFont="1" applyFill="1" applyBorder="1" applyAlignment="1" applyProtection="1">
      <alignment horizontal="center" vertical="center" wrapText="1"/>
      <protection hidden="1"/>
    </xf>
    <xf numFmtId="0" fontId="4" fillId="2" borderId="41" xfId="2" applyFont="1" applyFill="1" applyBorder="1" applyAlignment="1" applyProtection="1">
      <alignment horizontal="center" vertical="center" wrapText="1"/>
      <protection hidden="1"/>
    </xf>
    <xf numFmtId="0" fontId="4" fillId="2" borderId="29" xfId="2" applyFont="1" applyFill="1" applyBorder="1" applyAlignment="1" applyProtection="1">
      <alignment horizontal="center" vertical="center"/>
      <protection hidden="1"/>
    </xf>
    <xf numFmtId="0" fontId="4" fillId="2" borderId="30" xfId="2" applyFont="1" applyFill="1" applyBorder="1" applyAlignment="1" applyProtection="1">
      <alignment horizontal="center" vertical="center"/>
      <protection hidden="1"/>
    </xf>
    <xf numFmtId="0" fontId="4" fillId="2" borderId="31" xfId="2" applyFont="1" applyFill="1" applyBorder="1" applyAlignment="1" applyProtection="1">
      <alignment horizontal="center" vertical="center"/>
      <protection hidden="1"/>
    </xf>
    <xf numFmtId="0" fontId="4" fillId="2" borderId="39" xfId="2" applyFont="1" applyFill="1" applyBorder="1" applyAlignment="1" applyProtection="1">
      <alignment horizontal="center" vertical="center"/>
      <protection hidden="1"/>
    </xf>
    <xf numFmtId="0" fontId="4" fillId="2" borderId="40" xfId="2" applyFont="1" applyFill="1" applyBorder="1" applyAlignment="1" applyProtection="1">
      <alignment horizontal="center" vertical="center"/>
      <protection hidden="1"/>
    </xf>
    <xf numFmtId="0" fontId="4" fillId="2" borderId="41" xfId="2" applyFont="1" applyFill="1" applyBorder="1" applyAlignment="1" applyProtection="1">
      <alignment horizontal="center" vertical="center"/>
      <protection hidden="1"/>
    </xf>
    <xf numFmtId="0" fontId="8" fillId="3" borderId="42" xfId="3" applyFont="1" applyFill="1" applyBorder="1" applyAlignment="1" applyProtection="1">
      <alignment horizontal="center" vertical="center"/>
      <protection hidden="1"/>
    </xf>
    <xf numFmtId="0" fontId="8" fillId="3" borderId="43" xfId="3" applyFont="1" applyFill="1" applyBorder="1" applyAlignment="1" applyProtection="1">
      <alignment horizontal="center" vertical="center"/>
      <protection hidden="1"/>
    </xf>
    <xf numFmtId="1" fontId="19" fillId="3" borderId="21" xfId="0" applyNumberFormat="1" applyFont="1" applyFill="1" applyBorder="1" applyAlignment="1" applyProtection="1">
      <alignment horizontal="center" vertical="center"/>
      <protection hidden="1"/>
    </xf>
    <xf numFmtId="1" fontId="19" fillId="3" borderId="24" xfId="0" applyNumberFormat="1" applyFont="1" applyFill="1" applyBorder="1" applyAlignment="1" applyProtection="1">
      <alignment horizontal="center" vertical="center"/>
      <protection hidden="1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6" fillId="3" borderId="0" xfId="3" applyFont="1" applyFill="1" applyBorder="1" applyAlignment="1" applyProtection="1">
      <alignment horizontal="center" vertical="center"/>
      <protection hidden="1"/>
    </xf>
    <xf numFmtId="0" fontId="6" fillId="3" borderId="26" xfId="3" applyFont="1" applyFill="1" applyBorder="1" applyAlignment="1" applyProtection="1">
      <alignment horizontal="center" vertical="center"/>
      <protection hidden="1"/>
    </xf>
    <xf numFmtId="0" fontId="20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1" fillId="5" borderId="23" xfId="0" applyFont="1" applyFill="1" applyBorder="1" applyAlignment="1">
      <alignment horizontal="center" vertical="center"/>
    </xf>
    <xf numFmtId="0" fontId="21" fillId="5" borderId="3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5" borderId="23" xfId="0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horizontal="center" vertical="center" wrapText="1"/>
    </xf>
    <xf numFmtId="0" fontId="4" fillId="2" borderId="29" xfId="2" applyFont="1" applyFill="1" applyBorder="1" applyAlignment="1" applyProtection="1">
      <alignment horizontal="center" vertical="center" wrapText="1"/>
      <protection hidden="1"/>
    </xf>
    <xf numFmtId="0" fontId="4" fillId="2" borderId="30" xfId="2" applyFont="1" applyFill="1" applyBorder="1" applyAlignment="1" applyProtection="1">
      <alignment horizontal="center" vertical="center" wrapText="1"/>
      <protection hidden="1"/>
    </xf>
    <xf numFmtId="0" fontId="4" fillId="2" borderId="31" xfId="2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3" fillId="2" borderId="47" xfId="2" applyFont="1" applyFill="1" applyBorder="1" applyAlignment="1" applyProtection="1">
      <alignment horizontal="center" vertical="center" wrapText="1"/>
      <protection hidden="1"/>
    </xf>
    <xf numFmtId="0" fontId="13" fillId="2" borderId="48" xfId="2" applyFont="1" applyFill="1" applyBorder="1" applyAlignment="1" applyProtection="1">
      <alignment horizontal="center" vertical="center" wrapText="1"/>
      <protection hidden="1"/>
    </xf>
    <xf numFmtId="0" fontId="7" fillId="3" borderId="42" xfId="3" applyFont="1" applyFill="1" applyBorder="1" applyAlignment="1" applyProtection="1">
      <alignment horizontal="center" vertical="center"/>
      <protection hidden="1"/>
    </xf>
    <xf numFmtId="0" fontId="7" fillId="3" borderId="43" xfId="3" applyFont="1" applyFill="1" applyBorder="1" applyAlignment="1" applyProtection="1">
      <alignment horizontal="center" vertical="center"/>
      <protection hidden="1"/>
    </xf>
    <xf numFmtId="1" fontId="7" fillId="3" borderId="21" xfId="0" applyNumberFormat="1" applyFont="1" applyFill="1" applyBorder="1" applyAlignment="1" applyProtection="1">
      <alignment horizontal="center" vertical="center"/>
      <protection hidden="1"/>
    </xf>
    <xf numFmtId="1" fontId="7" fillId="3" borderId="24" xfId="0" applyNumberFormat="1" applyFont="1" applyFill="1" applyBorder="1" applyAlignment="1" applyProtection="1">
      <alignment horizontal="center" vertical="center"/>
      <protection hidden="1"/>
    </xf>
    <xf numFmtId="2" fontId="8" fillId="8" borderId="7" xfId="0" applyNumberFormat="1" applyFont="1" applyFill="1" applyBorder="1" applyAlignment="1" applyProtection="1">
      <alignment horizontal="center" vertical="center"/>
      <protection hidden="1"/>
    </xf>
    <xf numFmtId="2" fontId="8" fillId="8" borderId="8" xfId="0" applyNumberFormat="1" applyFont="1" applyFill="1" applyBorder="1" applyAlignment="1" applyProtection="1">
      <alignment horizontal="center" vertical="center"/>
      <protection hidden="1"/>
    </xf>
    <xf numFmtId="0" fontId="18" fillId="8" borderId="21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1" fontId="7" fillId="3" borderId="42" xfId="0" applyNumberFormat="1" applyFont="1" applyFill="1" applyBorder="1" applyAlignment="1" applyProtection="1">
      <alignment horizontal="center" vertical="center"/>
      <protection hidden="1"/>
    </xf>
    <xf numFmtId="1" fontId="7" fillId="3" borderId="43" xfId="0" applyNumberFormat="1" applyFont="1" applyFill="1" applyBorder="1" applyAlignment="1" applyProtection="1">
      <alignment horizontal="center" vertical="center"/>
      <protection hidden="1"/>
    </xf>
    <xf numFmtId="0" fontId="9" fillId="2" borderId="16" xfId="2" applyFill="1" applyBorder="1" applyAlignment="1" applyProtection="1">
      <alignment horizontal="center"/>
      <protection hidden="1"/>
    </xf>
    <xf numFmtId="0" fontId="3" fillId="2" borderId="4" xfId="2" applyFont="1" applyFill="1" applyBorder="1" applyAlignment="1" applyProtection="1">
      <alignment horizontal="center" vertical="center"/>
      <protection hidden="1"/>
    </xf>
    <xf numFmtId="0" fontId="16" fillId="0" borderId="4" xfId="1" applyBorder="1" applyAlignment="1" applyProtection="1">
      <alignment horizontal="center" vertical="center"/>
      <protection hidden="1"/>
    </xf>
    <xf numFmtId="0" fontId="16" fillId="0" borderId="0" xfId="1" applyBorder="1" applyAlignment="1" applyProtection="1">
      <alignment horizontal="center" vertical="center"/>
      <protection hidden="1"/>
    </xf>
    <xf numFmtId="0" fontId="16" fillId="0" borderId="5" xfId="1" applyBorder="1" applyAlignment="1" applyProtection="1">
      <alignment horizontal="center" vertical="center"/>
      <protection hidden="1"/>
    </xf>
    <xf numFmtId="0" fontId="16" fillId="0" borderId="25" xfId="1" applyBorder="1" applyAlignment="1" applyProtection="1">
      <alignment horizontal="center" vertical="center"/>
      <protection hidden="1"/>
    </xf>
    <xf numFmtId="0" fontId="16" fillId="0" borderId="26" xfId="1" applyBorder="1" applyAlignment="1" applyProtection="1">
      <alignment horizontal="center" vertical="center"/>
      <protection hidden="1"/>
    </xf>
    <xf numFmtId="0" fontId="16" fillId="0" borderId="27" xfId="1" applyBorder="1" applyAlignment="1" applyProtection="1">
      <alignment horizontal="center" vertical="center"/>
      <protection hidden="1"/>
    </xf>
    <xf numFmtId="0" fontId="5" fillId="3" borderId="10" xfId="3" applyFont="1" applyFill="1" applyBorder="1" applyAlignment="1" applyProtection="1">
      <alignment horizontal="center" vertical="center"/>
      <protection hidden="1"/>
    </xf>
    <xf numFmtId="0" fontId="5" fillId="3" borderId="11" xfId="3" applyFont="1" applyFill="1" applyBorder="1" applyAlignment="1" applyProtection="1">
      <alignment horizontal="center" vertical="center"/>
      <protection hidden="1"/>
    </xf>
    <xf numFmtId="0" fontId="5" fillId="3" borderId="13" xfId="3" applyFont="1" applyFill="1" applyBorder="1" applyAlignment="1" applyProtection="1">
      <alignment horizontal="center" vertical="center"/>
      <protection hidden="1"/>
    </xf>
    <xf numFmtId="0" fontId="5" fillId="3" borderId="14" xfId="3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3" fillId="2" borderId="6" xfId="2" applyFont="1" applyFill="1" applyBorder="1" applyAlignment="1" applyProtection="1">
      <alignment horizontal="center" vertical="center"/>
      <protection hidden="1"/>
    </xf>
    <xf numFmtId="0" fontId="3" fillId="2" borderId="9" xfId="2" applyFont="1" applyFill="1" applyBorder="1" applyAlignment="1" applyProtection="1">
      <alignment horizontal="center" vertical="center"/>
      <protection hidden="1"/>
    </xf>
    <xf numFmtId="0" fontId="3" fillId="2" borderId="12" xfId="2" applyFont="1" applyFill="1" applyBorder="1" applyAlignment="1" applyProtection="1">
      <alignment horizontal="center" vertical="center"/>
      <protection hidden="1"/>
    </xf>
    <xf numFmtId="0" fontId="9" fillId="2" borderId="10" xfId="2" applyFill="1" applyBorder="1" applyAlignment="1" applyProtection="1">
      <alignment horizontal="center"/>
      <protection hidden="1"/>
    </xf>
    <xf numFmtId="0" fontId="9" fillId="2" borderId="13" xfId="2" applyFill="1" applyBorder="1" applyAlignment="1" applyProtection="1">
      <alignment horizontal="center"/>
      <protection hidden="1"/>
    </xf>
    <xf numFmtId="0" fontId="5" fillId="3" borderId="17" xfId="2" applyFont="1" applyFill="1" applyBorder="1" applyAlignment="1" applyProtection="1">
      <alignment horizontal="center" vertical="center"/>
      <protection hidden="1"/>
    </xf>
    <xf numFmtId="0" fontId="5" fillId="3" borderId="18" xfId="2" applyFont="1" applyFill="1" applyBorder="1" applyAlignment="1" applyProtection="1">
      <alignment horizontal="center" vertical="center"/>
      <protection hidden="1"/>
    </xf>
    <xf numFmtId="0" fontId="14" fillId="6" borderId="17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5" fillId="3" borderId="21" xfId="2" applyFont="1" applyFill="1" applyBorder="1" applyAlignment="1" applyProtection="1">
      <alignment horizontal="center" vertical="center"/>
      <protection hidden="1"/>
    </xf>
    <xf numFmtId="0" fontId="5" fillId="3" borderId="22" xfId="2" applyFont="1" applyFill="1" applyBorder="1" applyAlignment="1" applyProtection="1">
      <alignment horizontal="center" vertical="center"/>
      <protection hidden="1"/>
    </xf>
    <xf numFmtId="0" fontId="14" fillId="6" borderId="21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7" fillId="3" borderId="13" xfId="2" applyFont="1" applyFill="1" applyBorder="1" applyAlignment="1" applyProtection="1">
      <alignment horizontal="center"/>
      <protection hidden="1"/>
    </xf>
    <xf numFmtId="0" fontId="4" fillId="2" borderId="7" xfId="2" applyFont="1" applyFill="1" applyBorder="1" applyAlignment="1" applyProtection="1">
      <alignment horizontal="center" vertical="center" wrapText="1"/>
      <protection hidden="1"/>
    </xf>
    <xf numFmtId="0" fontId="4" fillId="2" borderId="8" xfId="2" applyFont="1" applyFill="1" applyBorder="1" applyAlignment="1" applyProtection="1">
      <alignment horizontal="center" vertical="center" wrapText="1"/>
      <protection hidden="1"/>
    </xf>
    <xf numFmtId="0" fontId="15" fillId="6" borderId="17" xfId="2" applyFont="1" applyFill="1" applyBorder="1" applyAlignment="1" applyProtection="1">
      <alignment horizontal="center" vertical="center" wrapText="1"/>
      <protection hidden="1"/>
    </xf>
    <xf numFmtId="0" fontId="4" fillId="6" borderId="18" xfId="2" applyFont="1" applyFill="1" applyBorder="1" applyAlignment="1" applyProtection="1">
      <alignment horizontal="center" vertical="center" wrapText="1"/>
      <protection hidden="1"/>
    </xf>
    <xf numFmtId="0" fontId="15" fillId="6" borderId="19" xfId="2" applyFont="1" applyFill="1" applyBorder="1" applyAlignment="1" applyProtection="1">
      <alignment horizontal="center" vertical="center" wrapText="1"/>
      <protection hidden="1"/>
    </xf>
    <xf numFmtId="0" fontId="4" fillId="2" borderId="7" xfId="2" applyFont="1" applyFill="1" applyBorder="1" applyAlignment="1" applyProtection="1">
      <alignment horizontal="center" vertical="center"/>
      <protection hidden="1"/>
    </xf>
    <xf numFmtId="0" fontId="4" fillId="2" borderId="8" xfId="2" applyFont="1" applyFill="1" applyBorder="1" applyAlignment="1" applyProtection="1">
      <alignment horizontal="center" vertical="center"/>
      <protection hidden="1"/>
    </xf>
    <xf numFmtId="1" fontId="7" fillId="3" borderId="13" xfId="0" applyNumberFormat="1" applyFont="1" applyFill="1" applyBorder="1" applyAlignment="1" applyProtection="1">
      <alignment horizontal="center" vertical="center"/>
      <protection hidden="1"/>
    </xf>
    <xf numFmtId="0" fontId="6" fillId="3" borderId="10" xfId="3" applyFont="1" applyFill="1" applyBorder="1" applyAlignment="1" applyProtection="1">
      <alignment horizontal="center" vertical="center"/>
      <protection hidden="1"/>
    </xf>
    <xf numFmtId="0" fontId="6" fillId="3" borderId="13" xfId="3" applyFont="1" applyFill="1" applyBorder="1" applyAlignment="1" applyProtection="1">
      <alignment horizontal="center" vertical="center"/>
      <protection hidden="1"/>
    </xf>
    <xf numFmtId="0" fontId="8" fillId="3" borderId="10" xfId="3" applyFont="1" applyFill="1" applyBorder="1" applyAlignment="1" applyProtection="1">
      <alignment horizontal="center" vertical="center" wrapText="1"/>
      <protection hidden="1"/>
    </xf>
    <xf numFmtId="0" fontId="8" fillId="3" borderId="10" xfId="3" applyFont="1" applyFill="1" applyBorder="1" applyAlignment="1" applyProtection="1">
      <alignment horizontal="center" vertical="center" wrapText="1"/>
      <protection hidden="1"/>
    </xf>
    <xf numFmtId="0" fontId="8" fillId="3" borderId="11" xfId="3" applyFont="1" applyFill="1" applyBorder="1" applyAlignment="1" applyProtection="1">
      <alignment horizontal="center" vertical="center" wrapText="1"/>
      <protection hidden="1"/>
    </xf>
    <xf numFmtId="0" fontId="4" fillId="2" borderId="7" xfId="2" applyFont="1" applyFill="1" applyBorder="1" applyAlignment="1" applyProtection="1">
      <alignment horizontal="left" vertical="center"/>
      <protection hidden="1"/>
    </xf>
    <xf numFmtId="0" fontId="4" fillId="2" borderId="8" xfId="2" applyFont="1" applyFill="1" applyBorder="1" applyAlignment="1" applyProtection="1">
      <alignment horizontal="left" vertical="center"/>
      <protection hidden="1"/>
    </xf>
    <xf numFmtId="0" fontId="31" fillId="3" borderId="13" xfId="3" applyFont="1" applyFill="1" applyBorder="1" applyAlignment="1" applyProtection="1">
      <alignment horizontal="center" vertical="center"/>
      <protection hidden="1"/>
    </xf>
    <xf numFmtId="0" fontId="32" fillId="2" borderId="39" xfId="2" applyFont="1" applyFill="1" applyBorder="1" applyAlignment="1" applyProtection="1">
      <alignment horizontal="center" vertical="center"/>
      <protection hidden="1"/>
    </xf>
    <xf numFmtId="0" fontId="32" fillId="2" borderId="29" xfId="2" applyFont="1" applyFill="1" applyBorder="1" applyAlignment="1" applyProtection="1">
      <alignment horizontal="center" vertical="center"/>
      <protection hidden="1"/>
    </xf>
    <xf numFmtId="0" fontId="32" fillId="2" borderId="39" xfId="2" applyFont="1" applyFill="1" applyBorder="1" applyAlignment="1" applyProtection="1">
      <alignment horizontal="center" vertical="center" wrapText="1"/>
      <protection hidden="1"/>
    </xf>
    <xf numFmtId="0" fontId="1" fillId="0" borderId="0" xfId="0" applyFont="1"/>
    <xf numFmtId="0" fontId="33" fillId="3" borderId="32" xfId="3" applyFont="1" applyFill="1" applyBorder="1" applyAlignment="1" applyProtection="1">
      <alignment horizontal="center" vertical="center"/>
      <protection hidden="1"/>
    </xf>
    <xf numFmtId="0" fontId="33" fillId="3" borderId="33" xfId="3" applyFont="1" applyFill="1" applyBorder="1" applyAlignment="1" applyProtection="1">
      <alignment horizontal="center" vertical="center"/>
      <protection hidden="1"/>
    </xf>
    <xf numFmtId="0" fontId="34" fillId="3" borderId="34" xfId="3" applyFont="1" applyFill="1" applyBorder="1" applyAlignment="1" applyProtection="1">
      <alignment horizontal="center" vertical="center"/>
      <protection hidden="1"/>
    </xf>
    <xf numFmtId="0" fontId="35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30" fillId="7" borderId="46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33" fillId="3" borderId="10" xfId="3" applyFont="1" applyFill="1" applyBorder="1" applyAlignment="1" applyProtection="1">
      <alignment horizontal="center" vertical="center"/>
      <protection hidden="1"/>
    </xf>
    <xf numFmtId="0" fontId="31" fillId="3" borderId="10" xfId="3" applyFont="1" applyFill="1" applyBorder="1" applyAlignment="1" applyProtection="1">
      <alignment horizontal="center" vertical="center"/>
      <protection hidden="1"/>
    </xf>
    <xf numFmtId="0" fontId="32" fillId="2" borderId="7" xfId="2" applyFont="1" applyFill="1" applyBorder="1" applyAlignment="1" applyProtection="1">
      <alignment horizontal="center" vertical="center" wrapText="1"/>
      <protection hidden="1"/>
    </xf>
    <xf numFmtId="0" fontId="31" fillId="3" borderId="9" xfId="3" applyFont="1" applyFill="1" applyBorder="1" applyAlignment="1" applyProtection="1">
      <alignment horizontal="center" vertical="center"/>
      <protection hidden="1"/>
    </xf>
    <xf numFmtId="0" fontId="31" fillId="3" borderId="42" xfId="3" applyFont="1" applyFill="1" applyBorder="1" applyAlignment="1" applyProtection="1">
      <alignment horizontal="center" vertical="center"/>
      <protection hidden="1"/>
    </xf>
    <xf numFmtId="0" fontId="33" fillId="3" borderId="42" xfId="3" applyFont="1" applyFill="1" applyBorder="1" applyAlignment="1" applyProtection="1">
      <alignment horizontal="center" vertical="center"/>
      <protection hidden="1"/>
    </xf>
    <xf numFmtId="0" fontId="29" fillId="2" borderId="23" xfId="2" applyFont="1" applyFill="1" applyBorder="1" applyAlignment="1" applyProtection="1">
      <alignment horizontal="center" vertical="center" wrapText="1"/>
      <protection hidden="1"/>
    </xf>
  </cellXfs>
  <cellStyles count="4">
    <cellStyle name="Гиперссылка" xfId="1" builtinId="8"/>
    <cellStyle name="Нейтральный" xfId="3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4D4D4D"/>
      <color rgb="FFC61C34"/>
      <color rgb="FFDD410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10" dropStyle="combo" dx="26" fmlaLink="$J$1" fmlaRange="$G$8:$G$16" sel="7" val="0"/>
</file>

<file path=xl/ctrlProps/ctrlProp2.xml><?xml version="1.0" encoding="utf-8"?>
<formControlPr xmlns="http://schemas.microsoft.com/office/spreadsheetml/2009/9/main" objectType="Drop" dropLines="10" dropStyle="combo" dx="26" fmlaLink="$J$24" fmlaRange="$G$31:$G$39" sel="7" val="0"/>
</file>

<file path=xl/ctrlProps/ctrlProp3.xml><?xml version="1.0" encoding="utf-8"?>
<formControlPr xmlns="http://schemas.microsoft.com/office/spreadsheetml/2009/9/main" objectType="Drop" dropLines="10" dropStyle="combo" dx="26" fmlaLink="$J$1" fmlaRange="$G$8:$G$16" sel="7" val="0"/>
</file>

<file path=xl/ctrlProps/ctrlProp4.xml><?xml version="1.0" encoding="utf-8"?>
<formControlPr xmlns="http://schemas.microsoft.com/office/spreadsheetml/2009/9/main" objectType="Drop" dropLines="10" dropStyle="combo" dx="26" fmlaLink="$J$26" fmlaRange="$G$33:$G$39" sel="6" val="0"/>
</file>

<file path=xl/ctrlProps/ctrlProp5.xml><?xml version="1.0" encoding="utf-8"?>
<formControlPr xmlns="http://schemas.microsoft.com/office/spreadsheetml/2009/9/main" objectType="Drop" dropLines="10" dropStyle="combo" dx="26" fmlaLink="$K$1" fmlaRange="$H$8:$H$16" sel="4" val="0"/>
</file>

<file path=xl/ctrlProps/ctrlProp6.xml><?xml version="1.0" encoding="utf-8"?>
<formControlPr xmlns="http://schemas.microsoft.com/office/spreadsheetml/2009/9/main" objectType="Drop" dropLines="10" dropStyle="combo" dx="26" fmlaLink="$L$1" fmlaRange="$I$8:$I$16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1452671</xdr:colOff>
      <xdr:row>0</xdr:row>
      <xdr:rowOff>81057</xdr:rowOff>
    </xdr:from>
    <xdr:to>
      <xdr:col>4</xdr:col>
      <xdr:colOff>1630470</xdr:colOff>
      <xdr:row>6</xdr:row>
      <xdr:rowOff>117073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9745" y="80645"/>
          <a:ext cx="3164205" cy="1933575"/>
        </a:xfrm>
        <a:prstGeom prst="rect">
          <a:avLst/>
        </a:prstGeom>
        <a:solidFill>
          <a:srgbClr val="FF0000"/>
        </a:solidFill>
        <a:effectLst>
          <a:glow rad="127000">
            <a:srgbClr val="C61C34">
              <a:alpha val="60000"/>
            </a:srgbClr>
          </a:glow>
        </a:effectLst>
      </xdr:spPr>
    </xdr:pic>
    <xdr:clientData/>
  </xdr:twoCellAnchor>
  <xdr:oneCellAnchor>
    <xdr:from>
      <xdr:col>0</xdr:col>
      <xdr:colOff>177036</xdr:colOff>
      <xdr:row>3</xdr:row>
      <xdr:rowOff>83637</xdr:rowOff>
    </xdr:from>
    <xdr:ext cx="3586623" cy="433452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7036" y="1226637"/>
          <a:ext cx="3586623" cy="433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высота фасада </a:t>
          </a:r>
          <a:r>
            <a:rPr lang="en-US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h=250-600</a:t>
          </a:r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xdr:oneCellAnchor>
    <xdr:from>
      <xdr:col>2</xdr:col>
      <xdr:colOff>1406289</xdr:colOff>
      <xdr:row>26</xdr:row>
      <xdr:rowOff>81057</xdr:rowOff>
    </xdr:from>
    <xdr:ext cx="2889622" cy="1933545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3390" y="8670290"/>
          <a:ext cx="2889885" cy="1933575"/>
        </a:xfrm>
        <a:prstGeom prst="rect">
          <a:avLst/>
        </a:prstGeom>
        <a:solidFill>
          <a:srgbClr val="FF0000"/>
        </a:solidFill>
        <a:effectLst>
          <a:glow rad="127000">
            <a:srgbClr val="C61C34">
              <a:alpha val="60000"/>
            </a:srgbClr>
          </a:glow>
        </a:effectLst>
      </xdr:spPr>
    </xdr:pic>
    <xdr:clientData/>
  </xdr:oneCellAnchor>
  <xdr:oneCellAnchor>
    <xdr:from>
      <xdr:col>0</xdr:col>
      <xdr:colOff>46990</xdr:colOff>
      <xdr:row>31</xdr:row>
      <xdr:rowOff>21351</xdr:rowOff>
    </xdr:from>
    <xdr:ext cx="3246659" cy="399405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6990" y="9891065"/>
          <a:ext cx="3246659" cy="3994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altLang="zh-CN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  <a:ea typeface="+mn-ea"/>
              <a:cs typeface="+mn-cs"/>
            </a:rPr>
            <a:t>высота фасада </a:t>
          </a:r>
          <a:r>
            <a:rPr lang="en-US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h=250-600</a:t>
          </a:r>
          <a:r>
            <a:rPr lang="ru-RU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44450</xdr:colOff>
          <xdr:row>11</xdr:row>
          <xdr:rowOff>76200</xdr:rowOff>
        </xdr:from>
        <xdr:to>
          <xdr:col>1</xdr:col>
          <xdr:colOff>2159000</xdr:colOff>
          <xdr:row>12</xdr:row>
          <xdr:rowOff>298450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158750</xdr:rowOff>
        </xdr:from>
        <xdr:to>
          <xdr:col>1</xdr:col>
          <xdr:colOff>1638300</xdr:colOff>
          <xdr:row>2</xdr:row>
          <xdr:rowOff>25400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26</xdr:row>
          <xdr:rowOff>158750</xdr:rowOff>
        </xdr:from>
        <xdr:to>
          <xdr:col>1</xdr:col>
          <xdr:colOff>1638300</xdr:colOff>
          <xdr:row>28</xdr:row>
          <xdr:rowOff>6350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101600</xdr:colOff>
          <xdr:row>37</xdr:row>
          <xdr:rowOff>79829</xdr:rowOff>
        </xdr:from>
        <xdr:to>
          <xdr:col>1</xdr:col>
          <xdr:colOff>2159000</xdr:colOff>
          <xdr:row>38</xdr:row>
          <xdr:rowOff>213179</xdr:rowOff>
        </xdr:to>
        <xdr:sp macro="" textlink="">
          <xdr:nvSpPr>
            <xdr:cNvPr id="7172" name="Drop Dow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1592793</xdr:colOff>
      <xdr:row>0</xdr:row>
      <xdr:rowOff>83362</xdr:rowOff>
    </xdr:from>
    <xdr:ext cx="2678852" cy="1928934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0080" y="83185"/>
          <a:ext cx="2679065" cy="1928495"/>
        </a:xfrm>
        <a:prstGeom prst="rect">
          <a:avLst/>
        </a:prstGeom>
        <a:solidFill>
          <a:srgbClr val="FF0000"/>
        </a:solidFill>
        <a:effectLst>
          <a:glow rad="127000">
            <a:srgbClr val="C61C34">
              <a:alpha val="60000"/>
            </a:srgbClr>
          </a:glow>
        </a:effectLst>
      </xdr:spPr>
    </xdr:pic>
    <xdr:clientData/>
  </xdr:oneCellAnchor>
  <xdr:oneCellAnchor>
    <xdr:from>
      <xdr:col>0</xdr:col>
      <xdr:colOff>150091</xdr:colOff>
      <xdr:row>2</xdr:row>
      <xdr:rowOff>376777</xdr:rowOff>
    </xdr:from>
    <xdr:ext cx="3586623" cy="433452"/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50091" y="1138777"/>
          <a:ext cx="3586623" cy="433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высота фасада </a:t>
          </a:r>
          <a:r>
            <a:rPr lang="en-US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h=240-600</a:t>
          </a:r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xdr:oneCellAnchor>
    <xdr:from>
      <xdr:col>0</xdr:col>
      <xdr:colOff>168835</xdr:colOff>
      <xdr:row>4</xdr:row>
      <xdr:rowOff>7183</xdr:rowOff>
    </xdr:from>
    <xdr:ext cx="3914588" cy="580159"/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68835" y="1531183"/>
          <a:ext cx="3914588" cy="58015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ru-RU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Light" panose="020B0300000000000000" pitchFamily="34" charset="-128"/>
              <a:ea typeface="Yu Gothic UI Light" panose="020B0300000000000000" pitchFamily="34" charset="-128"/>
            </a:rPr>
            <a:t>Если ширина фасада не превышает 600 мм, достаточно  одного механизма.</a:t>
          </a:r>
        </a:p>
      </xdr:txBody>
    </xdr:sp>
    <xdr:clientData/>
  </xdr:oneCellAnchor>
  <xdr:oneCellAnchor>
    <xdr:from>
      <xdr:col>2</xdr:col>
      <xdr:colOff>2038977</xdr:colOff>
      <xdr:row>25</xdr:row>
      <xdr:rowOff>117999</xdr:rowOff>
    </xdr:from>
    <xdr:ext cx="2348296" cy="1699264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613" y="8626999"/>
          <a:ext cx="2348296" cy="1699264"/>
        </a:xfrm>
        <a:prstGeom prst="rect">
          <a:avLst/>
        </a:prstGeom>
        <a:solidFill>
          <a:srgbClr val="FF0000"/>
        </a:solidFill>
        <a:effectLst>
          <a:glow rad="127000">
            <a:srgbClr val="C61C34">
              <a:alpha val="60000"/>
            </a:srgbClr>
          </a:glow>
        </a:effectLst>
      </xdr:spPr>
    </xdr:pic>
    <xdr:clientData/>
  </xdr:oneCellAnchor>
  <xdr:oneCellAnchor>
    <xdr:from>
      <xdr:col>0</xdr:col>
      <xdr:colOff>199898</xdr:colOff>
      <xdr:row>28</xdr:row>
      <xdr:rowOff>99550</xdr:rowOff>
    </xdr:from>
    <xdr:ext cx="3586623" cy="433452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99898" y="9555277"/>
          <a:ext cx="3586623" cy="433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высота фасада </a:t>
          </a:r>
          <a:r>
            <a:rPr lang="en-US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h=240-600</a:t>
          </a:r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xdr:oneCellAnchor>
    <xdr:from>
      <xdr:col>0</xdr:col>
      <xdr:colOff>220042</xdr:colOff>
      <xdr:row>30</xdr:row>
      <xdr:rowOff>101177</xdr:rowOff>
    </xdr:from>
    <xdr:ext cx="3746052" cy="436786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20042" y="9683904"/>
          <a:ext cx="3746052" cy="436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r>
            <a:rPr lang="ru-RU" sz="11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Если ширина фасада не превышает 600 мм, достаточно  одного механизма.</a:t>
          </a:r>
          <a:endParaRPr lang="ru-KZ" b="0"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31750</xdr:colOff>
          <xdr:row>11</xdr:row>
          <xdr:rowOff>203200</xdr:rowOff>
        </xdr:from>
        <xdr:to>
          <xdr:col>1</xdr:col>
          <xdr:colOff>2197100</xdr:colOff>
          <xdr:row>12</xdr:row>
          <xdr:rowOff>374650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152400</xdr:rowOff>
        </xdr:from>
        <xdr:to>
          <xdr:col>1</xdr:col>
          <xdr:colOff>1638300</xdr:colOff>
          <xdr:row>2</xdr:row>
          <xdr:rowOff>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25</xdr:row>
          <xdr:rowOff>152400</xdr:rowOff>
        </xdr:from>
        <xdr:to>
          <xdr:col>1</xdr:col>
          <xdr:colOff>1638300</xdr:colOff>
          <xdr:row>27</xdr:row>
          <xdr:rowOff>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38100</xdr:colOff>
          <xdr:row>36</xdr:row>
          <xdr:rowOff>137969</xdr:rowOff>
        </xdr:from>
        <xdr:to>
          <xdr:col>1</xdr:col>
          <xdr:colOff>2209800</xdr:colOff>
          <xdr:row>37</xdr:row>
          <xdr:rowOff>80819</xdr:rowOff>
        </xdr:to>
        <xdr:sp macro="" textlink="">
          <xdr:nvSpPr>
            <xdr:cNvPr id="5128" name="Drop Dow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1305593</xdr:colOff>
      <xdr:row>0</xdr:row>
      <xdr:rowOff>91000</xdr:rowOff>
    </xdr:from>
    <xdr:to>
      <xdr:col>4</xdr:col>
      <xdr:colOff>1490383</xdr:colOff>
      <xdr:row>6</xdr:row>
      <xdr:rowOff>112059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5" r="26104" b="21570"/>
        <a:stretch>
          <a:fillRect/>
        </a:stretch>
      </xdr:blipFill>
      <xdr:spPr>
        <a:xfrm>
          <a:off x="4163060" y="90805"/>
          <a:ext cx="3171190" cy="1918335"/>
        </a:xfrm>
        <a:prstGeom prst="rect">
          <a:avLst/>
        </a:prstGeom>
        <a:solidFill>
          <a:srgbClr val="FF0000"/>
        </a:solidFill>
        <a:effectLst>
          <a:glow rad="127000">
            <a:srgbClr val="C61C34">
              <a:alpha val="60000"/>
            </a:srgbClr>
          </a:glow>
        </a:effectLst>
      </xdr:spPr>
    </xdr:pic>
    <xdr:clientData/>
  </xdr:twoCellAnchor>
  <xdr:oneCellAnchor>
    <xdr:from>
      <xdr:col>0</xdr:col>
      <xdr:colOff>91127</xdr:colOff>
      <xdr:row>3</xdr:row>
      <xdr:rowOff>45537</xdr:rowOff>
    </xdr:from>
    <xdr:ext cx="3371116" cy="399405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91127" y="1188537"/>
          <a:ext cx="3371116" cy="3994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высота фасада </a:t>
          </a:r>
          <a:r>
            <a:rPr lang="en-US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h=480-1040</a:t>
          </a:r>
          <a:r>
            <a:rPr lang="ru-RU" sz="18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82550</xdr:colOff>
          <xdr:row>11</xdr:row>
          <xdr:rowOff>578</xdr:rowOff>
        </xdr:from>
        <xdr:to>
          <xdr:col>1</xdr:col>
          <xdr:colOff>2262909</xdr:colOff>
          <xdr:row>12</xdr:row>
          <xdr:rowOff>311727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158750</xdr:rowOff>
        </xdr:from>
        <xdr:to>
          <xdr:col>1</xdr:col>
          <xdr:colOff>1638300</xdr:colOff>
          <xdr:row>2</xdr:row>
          <xdr:rowOff>25400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83820</xdr:colOff>
      <xdr:row>4</xdr:row>
      <xdr:rowOff>15240</xdr:rowOff>
    </xdr:from>
    <xdr:ext cx="3914588" cy="580159"/>
    <xdr:sp macro="" textlink="">
      <xdr:nvSpPr>
        <xdr:cNvPr id="2" name="Прямоугольник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3820" y="1539240"/>
          <a:ext cx="3914588" cy="58015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ru-RU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Light" panose="020B0300000000000000" pitchFamily="34" charset="-128"/>
              <a:ea typeface="Yu Gothic UI Light" panose="020B0300000000000000" pitchFamily="34" charset="-128"/>
            </a:rPr>
            <a:t>на этой странице под словом «фасад» подразумевается двойной фасад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0</xdr:row>
          <xdr:rowOff>101600</xdr:rowOff>
        </xdr:from>
        <xdr:to>
          <xdr:col>1</xdr:col>
          <xdr:colOff>1250950</xdr:colOff>
          <xdr:row>2</xdr:row>
          <xdr:rowOff>228600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119625</xdr:colOff>
      <xdr:row>4</xdr:row>
      <xdr:rowOff>115455</xdr:rowOff>
    </xdr:from>
    <xdr:ext cx="3581430" cy="433452"/>
    <xdr:sp macro="" textlink="">
      <xdr:nvSpPr>
        <xdr:cNvPr id="2" name="Прямоугольник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2898" y="1131455"/>
          <a:ext cx="3581430" cy="433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высота фасала </a:t>
          </a:r>
          <a:r>
            <a:rPr lang="en-US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h=300-580</a:t>
          </a:r>
          <a:r>
            <a:rPr lang="ru-RU" sz="2000" b="0" cap="none" spc="0" baseline="0">
              <a:ln w="0"/>
              <a:solidFill>
                <a:schemeClr val="bg2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UI" panose="020B0502040204020203" pitchFamily="34" charset="0"/>
            </a:rPr>
            <a:t>мм</a:t>
          </a:r>
        </a:p>
      </xdr:txBody>
    </xdr:sp>
    <xdr:clientData/>
  </xdr:oneCellAnchor>
  <xdr:twoCellAnchor editAs="oneCell">
    <xdr:from>
      <xdr:col>5</xdr:col>
      <xdr:colOff>396702</xdr:colOff>
      <xdr:row>0</xdr:row>
      <xdr:rowOff>0</xdr:rowOff>
    </xdr:from>
    <xdr:to>
      <xdr:col>6</xdr:col>
      <xdr:colOff>1790966</xdr:colOff>
      <xdr:row>9</xdr:row>
      <xdr:rowOff>361433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884" y="0"/>
          <a:ext cx="3195355" cy="27744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215900</xdr:colOff>
          <xdr:row>11</xdr:row>
          <xdr:rowOff>88900</xdr:rowOff>
        </xdr:from>
        <xdr:to>
          <xdr:col>1</xdr:col>
          <xdr:colOff>2393950</xdr:colOff>
          <xdr:row>12</xdr:row>
          <xdr:rowOff>152400</xdr:rowOff>
        </xdr:to>
        <xdr:sp macro="" textlink="">
          <xdr:nvSpPr>
            <xdr:cNvPr id="8194" name="Drop Dow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hyperlink" Target="https://www.instagram.com/dtc_centralasia?igsh=MXFzYjFnMnU0OHhoZg%3D%3D&amp;utm_source=qr" TargetMode="External"/><Relationship Id="rId1" Type="http://schemas.openxmlformats.org/officeDocument/2006/relationships/hyperlink" Target="https://www.instagram.com/dtc_centralasia?igsh=MXFzYjFnMnU0OHhoZg%3D%3D&amp;utm_source=q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4.bin"/><Relationship Id="rId2" Type="http://schemas.openxmlformats.org/officeDocument/2006/relationships/hyperlink" Target="https://www.instagram.com/dtc_centralasia?igsh=MXFzYjFnMnU0OHhoZg%3D%3D&amp;utm_source=qr" TargetMode="External"/><Relationship Id="rId1" Type="http://schemas.openxmlformats.org/officeDocument/2006/relationships/hyperlink" Target="https://www.instagram.com/dtc_centralasia?igsh=MXFzYjFnMnU0OHhoZg%3D%3D&amp;utm_source=q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hyperlink" Target="https://www.instagram.com/dtc_centralasia?igsh=MXFzYjFnMnU0OHhoZg%3D%3D&amp;utm_source=qr" TargetMode="External"/><Relationship Id="rId6" Type="http://schemas.openxmlformats.org/officeDocument/2006/relationships/ctrlProp" Target="../ctrlProps/ctrlProp5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hyperlink" Target="https://www.instagram.com/dtc_centralasia?igsh=MXFzYjFnMnU0OHhoZg%3D%3D&amp;utm_source=qr" TargetMode="External"/><Relationship Id="rId6" Type="http://schemas.openxmlformats.org/officeDocument/2006/relationships/ctrlProp" Target="../ctrlProps/ctrlProp6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zoomScale="55" zoomScaleNormal="55" workbookViewId="0">
      <selection activeCell="B42" sqref="B42"/>
    </sheetView>
  </sheetViews>
  <sheetFormatPr defaultColWidth="9.1796875" defaultRowHeight="14.5"/>
  <cols>
    <col min="1" max="1" width="4.453125" customWidth="1"/>
    <col min="2" max="2" width="32.453125" customWidth="1"/>
    <col min="3" max="3" width="30.36328125" customWidth="1"/>
    <col min="4" max="4" width="8.08984375" customWidth="1"/>
    <col min="5" max="5" width="25.7265625" customWidth="1"/>
    <col min="6" max="6" width="15.90625" customWidth="1"/>
    <col min="7" max="8" width="16.90625" hidden="1" customWidth="1"/>
    <col min="9" max="10" width="11.453125" hidden="1" customWidth="1"/>
    <col min="11" max="11" width="16" customWidth="1"/>
    <col min="12" max="14" width="8.6328125" customWidth="1"/>
  </cols>
  <sheetData>
    <row r="1" spans="1:10" ht="30" customHeight="1">
      <c r="A1" s="54" t="s">
        <v>0</v>
      </c>
      <c r="B1" s="55"/>
      <c r="C1" s="55"/>
      <c r="D1" s="55"/>
      <c r="E1" s="56"/>
      <c r="H1" s="102" t="s">
        <v>1</v>
      </c>
      <c r="I1" s="102"/>
      <c r="J1" s="18">
        <v>7</v>
      </c>
    </row>
    <row r="2" spans="1:10" ht="30" customHeight="1">
      <c r="A2" s="57"/>
      <c r="B2" s="58"/>
      <c r="C2" s="58"/>
      <c r="D2" s="58"/>
      <c r="E2" s="59"/>
    </row>
    <row r="3" spans="1:10" ht="30" customHeight="1">
      <c r="A3" s="57"/>
      <c r="B3" s="58"/>
      <c r="C3" s="58"/>
      <c r="D3" s="58"/>
      <c r="E3" s="59"/>
    </row>
    <row r="4" spans="1:10" ht="30" customHeight="1">
      <c r="A4" s="57"/>
      <c r="B4" s="58"/>
      <c r="C4" s="58"/>
      <c r="D4" s="58"/>
      <c r="E4" s="59"/>
    </row>
    <row r="5" spans="1:10" ht="14.9" customHeight="1">
      <c r="A5" s="57"/>
      <c r="B5" s="58"/>
      <c r="C5" s="58"/>
      <c r="D5" s="58"/>
      <c r="E5" s="59"/>
    </row>
    <row r="6" spans="1:10" ht="14.9" customHeight="1">
      <c r="A6" s="57"/>
      <c r="B6" s="58"/>
      <c r="C6" s="58"/>
      <c r="D6" s="58"/>
      <c r="E6" s="59"/>
    </row>
    <row r="7" spans="1:10" ht="15" customHeight="1">
      <c r="A7" s="60"/>
      <c r="B7" s="61"/>
      <c r="C7" s="61"/>
      <c r="D7" s="61"/>
      <c r="E7" s="62"/>
      <c r="G7" s="19" t="s">
        <v>2</v>
      </c>
      <c r="H7" s="19" t="s">
        <v>3</v>
      </c>
      <c r="I7" s="19" t="s">
        <v>4</v>
      </c>
      <c r="J7" s="19" t="s">
        <v>5</v>
      </c>
    </row>
    <row r="8" spans="1:10" ht="30" customHeight="1">
      <c r="A8" s="73">
        <v>1</v>
      </c>
      <c r="B8" s="167" t="s">
        <v>114</v>
      </c>
      <c r="C8" s="88"/>
      <c r="D8" s="88"/>
      <c r="E8" s="89"/>
      <c r="G8" s="19" t="s">
        <v>118</v>
      </c>
      <c r="H8" s="20">
        <v>10.9</v>
      </c>
      <c r="I8" s="20">
        <f>B10*C10/1000000*H8+E10/1000</f>
        <v>3.27</v>
      </c>
      <c r="J8" s="18" t="s">
        <v>6</v>
      </c>
    </row>
    <row r="9" spans="1:10" ht="21" customHeight="1">
      <c r="A9" s="74"/>
      <c r="B9" s="35" t="s">
        <v>115</v>
      </c>
      <c r="C9" s="36" t="s">
        <v>116</v>
      </c>
      <c r="D9" s="96" t="s">
        <v>7</v>
      </c>
      <c r="E9" s="51" t="s">
        <v>117</v>
      </c>
      <c r="F9" s="52"/>
      <c r="G9" s="19" t="s">
        <v>119</v>
      </c>
      <c r="H9" s="20">
        <v>12.2</v>
      </c>
      <c r="I9" s="20">
        <f>B10*C10/1000000*H9+E10/1000</f>
        <v>3.6599999999999997</v>
      </c>
      <c r="J9" s="20">
        <f>IF(J1=2,I9,J10)</f>
        <v>3.5999999999999996</v>
      </c>
    </row>
    <row r="10" spans="1:10" ht="30" customHeight="1">
      <c r="A10" s="75"/>
      <c r="B10" s="24">
        <v>500</v>
      </c>
      <c r="C10" s="25">
        <v>600</v>
      </c>
      <c r="D10" s="97"/>
      <c r="E10" s="26">
        <v>0</v>
      </c>
      <c r="F10" s="22"/>
      <c r="G10" s="19" t="s">
        <v>120</v>
      </c>
      <c r="H10" s="20">
        <v>12.1</v>
      </c>
      <c r="I10" s="20">
        <f>B10*C10/1000000*H10+E10/1000</f>
        <v>3.63</v>
      </c>
      <c r="J10" s="20">
        <f>IF(J1=3,I10,J11)</f>
        <v>3.5999999999999996</v>
      </c>
    </row>
    <row r="11" spans="1:10" ht="30" customHeight="1">
      <c r="A11" s="73">
        <v>2</v>
      </c>
      <c r="B11" s="87" t="s">
        <v>140</v>
      </c>
      <c r="C11" s="88"/>
      <c r="D11" s="88"/>
      <c r="E11" s="89"/>
      <c r="F11" s="22"/>
      <c r="G11" s="19" t="s">
        <v>121</v>
      </c>
      <c r="H11" s="20">
        <v>14.5</v>
      </c>
      <c r="I11" s="20">
        <f>B10*C10/1000000*H11+E10/1000</f>
        <v>4.3499999999999996</v>
      </c>
      <c r="J11" s="20">
        <f>IF(J1=4,I11,J12)</f>
        <v>3.5999999999999996</v>
      </c>
    </row>
    <row r="12" spans="1:10" ht="21" customHeight="1">
      <c r="A12" s="74"/>
      <c r="B12" s="79"/>
      <c r="C12" s="166" t="s">
        <v>141</v>
      </c>
      <c r="D12" s="90" t="s">
        <v>127</v>
      </c>
      <c r="E12" s="91"/>
      <c r="G12" s="19" t="s">
        <v>122</v>
      </c>
      <c r="H12" s="20">
        <v>16.5</v>
      </c>
      <c r="I12" s="20">
        <f>B10*C10/1000000*H12+E10/1000</f>
        <v>4.95</v>
      </c>
      <c r="J12" s="20">
        <f>IF(J1=5,I12,J13)</f>
        <v>3.5999999999999996</v>
      </c>
    </row>
    <row r="13" spans="1:10" ht="30" customHeight="1">
      <c r="A13" s="75"/>
      <c r="B13" s="80"/>
      <c r="C13" s="45">
        <f>IF(J1=1,I8,J9)</f>
        <v>3.5999999999999996</v>
      </c>
      <c r="D13" s="92">
        <f>C13*B10</f>
        <v>1799.9999999999998</v>
      </c>
      <c r="E13" s="93"/>
      <c r="F13" s="53"/>
      <c r="G13" s="19" t="s">
        <v>123</v>
      </c>
      <c r="H13" s="20">
        <v>11</v>
      </c>
      <c r="I13" s="20">
        <f>B10*C10/1000000*H13+E10/1000</f>
        <v>3.3</v>
      </c>
      <c r="J13" s="20">
        <f>IF(J1=6,I13,J14)</f>
        <v>3.5999999999999996</v>
      </c>
    </row>
    <row r="14" spans="1:10" ht="22.75" customHeight="1">
      <c r="A14" s="76">
        <v>3</v>
      </c>
      <c r="B14" s="46" t="s">
        <v>133</v>
      </c>
      <c r="C14" s="38" t="s">
        <v>128</v>
      </c>
      <c r="D14" s="94" t="s">
        <v>129</v>
      </c>
      <c r="E14" s="95"/>
      <c r="G14" s="19" t="s">
        <v>124</v>
      </c>
      <c r="H14" s="20">
        <v>12</v>
      </c>
      <c r="I14" s="20">
        <f>B10*C10/1000000*H14+E10/1000</f>
        <v>3.5999999999999996</v>
      </c>
      <c r="J14" s="20">
        <f>IF(J1=7,I14,J15)</f>
        <v>3.5999999999999996</v>
      </c>
    </row>
    <row r="15" spans="1:10" ht="33.65" customHeight="1">
      <c r="A15" s="77"/>
      <c r="B15" s="47" t="s">
        <v>143</v>
      </c>
      <c r="C15" s="48" t="str">
        <f>G17</f>
        <v>SQ02BH03A</v>
      </c>
      <c r="D15" s="98" t="str">
        <f>H17</f>
        <v>SQ02BH03B</v>
      </c>
      <c r="E15" s="99"/>
      <c r="G15" s="19" t="s">
        <v>125</v>
      </c>
      <c r="H15" s="20">
        <v>15</v>
      </c>
      <c r="I15" s="20">
        <f>B10*C10/1000000*H15+E10/1000</f>
        <v>4.5</v>
      </c>
      <c r="J15" s="20" t="e">
        <f>IF(J1=8,I15,J16)</f>
        <v>#REF!</v>
      </c>
    </row>
    <row r="16" spans="1:10" ht="48" customHeight="1">
      <c r="A16" s="78"/>
      <c r="B16" s="49" t="s">
        <v>131</v>
      </c>
      <c r="C16" s="50" t="str">
        <f>G18</f>
        <v/>
      </c>
      <c r="D16" s="103" t="str">
        <f>H18</f>
        <v/>
      </c>
      <c r="E16" s="104"/>
      <c r="G16" s="19" t="s">
        <v>126</v>
      </c>
      <c r="H16" s="20">
        <v>11.2</v>
      </c>
      <c r="I16" s="20">
        <f>B10*C10/1000000*H16+E10/1000</f>
        <v>3.36</v>
      </c>
      <c r="J16" s="20" t="e">
        <f>IF(J1=9,I16,#REF!)</f>
        <v>#REF!</v>
      </c>
    </row>
    <row r="17" spans="1:10" ht="64.400000000000006" customHeight="1">
      <c r="A17" s="74">
        <v>4</v>
      </c>
      <c r="B17" s="105" t="s">
        <v>132</v>
      </c>
      <c r="C17" s="106"/>
      <c r="D17" s="106"/>
      <c r="E17" s="107"/>
      <c r="G17" t="str">
        <f>IF(D13&lt;480,"фасад слишком маленький",IF(D13&lt;960,"SQ02BL03A",IF(D13&lt;1600,"SQ02BM03A",IF(D13&lt;2500,"SQ02BH03A",IF(D13&lt;=4500,"SQ02BC03A","")))))</f>
        <v>SQ02BH03A</v>
      </c>
      <c r="H17" t="str">
        <f>IF(D13&lt;480,"фасад слишком маленький!",IF(D13&lt;960,"SQ02BL03B",IF(D13&lt;1600,"SQ02BM03B",IF(D13&lt;2500,"SQ02BH03B",IF(D13&lt;=4500,"SQ02BC03B","")))))</f>
        <v>SQ02BH03B</v>
      </c>
    </row>
    <row r="18" spans="1:10" ht="30.5" customHeight="1">
      <c r="A18" s="74"/>
      <c r="B18" s="40" t="s">
        <v>134</v>
      </c>
      <c r="C18" s="161" t="s">
        <v>135</v>
      </c>
      <c r="D18" s="162" t="s">
        <v>136</v>
      </c>
      <c r="E18" s="163"/>
      <c r="G18" t="str">
        <f>IF(D13&gt;6750,"фасад слишком большой",IF(D13&gt;5400,"3pcs of SQ02BC03A",IF(D13&gt;4500,"3pcs of SQ02BH03A",IF(D13&lt;=4500,""))))</f>
        <v/>
      </c>
      <c r="H18" t="str">
        <f>IF(D13&gt;6750,"фасад слишком большой",IF(D13&gt;5400,"3pcs of SQ02BC03B",IF(D13&gt;4500,"3pcs of SQ02BH03B",IF(D13&lt;=4500,""))))</f>
        <v/>
      </c>
    </row>
    <row r="19" spans="1:10" ht="21" customHeight="1">
      <c r="A19" s="74"/>
      <c r="B19" s="28" t="s">
        <v>9</v>
      </c>
      <c r="C19" s="42" t="s">
        <v>10</v>
      </c>
      <c r="D19" s="69">
        <v>865</v>
      </c>
      <c r="E19" s="70"/>
    </row>
    <row r="20" spans="1:10" ht="21" customHeight="1">
      <c r="A20" s="74"/>
      <c r="B20" s="28" t="s">
        <v>11</v>
      </c>
      <c r="C20" s="42" t="s">
        <v>12</v>
      </c>
      <c r="D20" s="69">
        <v>1655</v>
      </c>
      <c r="E20" s="70"/>
    </row>
    <row r="21" spans="1:10" ht="21" customHeight="1">
      <c r="A21" s="74"/>
      <c r="B21" s="28" t="s">
        <v>13</v>
      </c>
      <c r="C21" s="42" t="s">
        <v>14</v>
      </c>
      <c r="D21" s="69">
        <v>2600</v>
      </c>
      <c r="E21" s="70"/>
    </row>
    <row r="22" spans="1:10" ht="21" customHeight="1">
      <c r="A22" s="75"/>
      <c r="B22" s="43" t="s">
        <v>15</v>
      </c>
      <c r="C22" s="42" t="s">
        <v>16</v>
      </c>
      <c r="D22" s="71">
        <v>3500</v>
      </c>
      <c r="E22" s="72"/>
    </row>
    <row r="23" spans="1:10">
      <c r="A23" s="63" t="s">
        <v>137</v>
      </c>
      <c r="B23" s="64"/>
      <c r="C23" s="64"/>
      <c r="D23" s="64"/>
      <c r="E23" s="65"/>
    </row>
    <row r="24" spans="1:10">
      <c r="A24" s="66"/>
      <c r="B24" s="67"/>
      <c r="C24" s="67"/>
      <c r="D24" s="67"/>
      <c r="E24" s="68"/>
      <c r="H24" s="102" t="s">
        <v>17</v>
      </c>
      <c r="I24" s="102"/>
      <c r="J24" s="18">
        <v>7</v>
      </c>
    </row>
    <row r="25" spans="1:10" ht="8" customHeight="1"/>
    <row r="26" spans="1:10" ht="30" customHeight="1"/>
    <row r="27" spans="1:10" ht="30" customHeight="1">
      <c r="A27" s="54" t="s">
        <v>18</v>
      </c>
      <c r="B27" s="55"/>
      <c r="C27" s="55"/>
      <c r="D27" s="55"/>
      <c r="E27" s="56"/>
    </row>
    <row r="28" spans="1:10" ht="30" customHeight="1">
      <c r="A28" s="57"/>
      <c r="B28" s="58"/>
      <c r="C28" s="58"/>
      <c r="D28" s="58"/>
      <c r="E28" s="59"/>
    </row>
    <row r="29" spans="1:10" ht="14.9" customHeight="1">
      <c r="A29" s="57"/>
      <c r="B29" s="58"/>
      <c r="C29" s="58"/>
      <c r="D29" s="58"/>
      <c r="E29" s="59"/>
    </row>
    <row r="30" spans="1:10" ht="14.9" customHeight="1">
      <c r="A30" s="57"/>
      <c r="B30" s="58"/>
      <c r="C30" s="58"/>
      <c r="D30" s="58"/>
      <c r="E30" s="59"/>
      <c r="G30" s="19" t="s">
        <v>2</v>
      </c>
      <c r="H30" s="19" t="s">
        <v>3</v>
      </c>
      <c r="I30" s="19" t="s">
        <v>4</v>
      </c>
      <c r="J30" s="19" t="s">
        <v>5</v>
      </c>
    </row>
    <row r="31" spans="1:10" ht="15" customHeight="1">
      <c r="A31" s="57"/>
      <c r="B31" s="58"/>
      <c r="C31" s="58"/>
      <c r="D31" s="58"/>
      <c r="E31" s="59"/>
      <c r="G31" s="19" t="s">
        <v>118</v>
      </c>
      <c r="H31" s="20">
        <v>10.9</v>
      </c>
      <c r="I31" s="20">
        <f>B36*C36/1000000*H31+E36/1000</f>
        <v>3.27</v>
      </c>
      <c r="J31" s="18" t="s">
        <v>6</v>
      </c>
    </row>
    <row r="32" spans="1:10" ht="30" customHeight="1">
      <c r="A32" s="57"/>
      <c r="B32" s="58"/>
      <c r="C32" s="58"/>
      <c r="D32" s="58"/>
      <c r="E32" s="59"/>
      <c r="G32" s="19" t="s">
        <v>119</v>
      </c>
      <c r="H32" s="20">
        <v>12.2</v>
      </c>
      <c r="I32" s="20">
        <f>B36*C36/1000000*H32+E36/1000</f>
        <v>3.66</v>
      </c>
      <c r="J32" s="20">
        <f>IF(J24=2,I32,J33)</f>
        <v>3.6</v>
      </c>
    </row>
    <row r="33" spans="1:11" ht="30" customHeight="1">
      <c r="A33" s="60"/>
      <c r="B33" s="61"/>
      <c r="C33" s="61"/>
      <c r="D33" s="61"/>
      <c r="E33" s="62"/>
      <c r="G33" s="19" t="s">
        <v>120</v>
      </c>
      <c r="H33" s="20">
        <v>12.1</v>
      </c>
      <c r="I33" s="20">
        <f>B36*C36/1000000*H33+E36/1000</f>
        <v>3.63</v>
      </c>
      <c r="J33" s="20">
        <f>IF(J24=3,I33,J34)</f>
        <v>3.6</v>
      </c>
    </row>
    <row r="34" spans="1:11" ht="30" customHeight="1">
      <c r="A34" s="74">
        <v>1</v>
      </c>
      <c r="B34" s="168" t="s">
        <v>114</v>
      </c>
      <c r="C34" s="85"/>
      <c r="D34" s="85"/>
      <c r="E34" s="86"/>
      <c r="F34" s="22"/>
      <c r="G34" s="19" t="s">
        <v>121</v>
      </c>
      <c r="H34" s="20">
        <v>14.5</v>
      </c>
      <c r="I34" s="20">
        <f>B36*C36/1000000*H34+E36/1000</f>
        <v>4.3499999999999996</v>
      </c>
      <c r="J34" s="20">
        <f>IF(J24=4,I34,J35)</f>
        <v>3.6</v>
      </c>
      <c r="K34" s="41"/>
    </row>
    <row r="35" spans="1:11" ht="30" customHeight="1">
      <c r="A35" s="74"/>
      <c r="B35" s="35" t="s">
        <v>115</v>
      </c>
      <c r="C35" s="36" t="s">
        <v>116</v>
      </c>
      <c r="D35" s="96" t="s">
        <v>7</v>
      </c>
      <c r="E35" s="51" t="s">
        <v>117</v>
      </c>
      <c r="F35" s="22"/>
      <c r="G35" s="19" t="s">
        <v>122</v>
      </c>
      <c r="H35" s="20">
        <v>16.5</v>
      </c>
      <c r="I35" s="20">
        <f>B36*C36/1000000*H35+E36/1000</f>
        <v>4.95</v>
      </c>
      <c r="J35" s="20">
        <f>IF(J24=5,I35,J36)</f>
        <v>3.6</v>
      </c>
      <c r="K35" s="41"/>
    </row>
    <row r="36" spans="1:11" ht="23.5" customHeight="1">
      <c r="A36" s="75"/>
      <c r="B36" s="24">
        <v>600</v>
      </c>
      <c r="C36" s="25">
        <v>500</v>
      </c>
      <c r="D36" s="97"/>
      <c r="E36" s="26">
        <v>0</v>
      </c>
      <c r="G36" s="19" t="s">
        <v>123</v>
      </c>
      <c r="H36" s="20">
        <v>11</v>
      </c>
      <c r="I36" s="20">
        <f>B36*C36/1000000*H36+E36/1000</f>
        <v>3.3</v>
      </c>
      <c r="J36" s="20">
        <f>IF(J24=6,I36,J37)</f>
        <v>3.6</v>
      </c>
    </row>
    <row r="37" spans="1:11" ht="30" customHeight="1">
      <c r="A37" s="73">
        <v>2</v>
      </c>
      <c r="B37" s="87" t="s">
        <v>8</v>
      </c>
      <c r="C37" s="88"/>
      <c r="D37" s="88"/>
      <c r="E37" s="89"/>
      <c r="G37" s="19" t="s">
        <v>124</v>
      </c>
      <c r="H37" s="20">
        <v>12</v>
      </c>
      <c r="I37" s="20">
        <f>B36*C36/1000000*H37+E36/1000</f>
        <v>3.6</v>
      </c>
      <c r="J37" s="20">
        <f>IF(J24=7,I37,J38)</f>
        <v>3.6</v>
      </c>
    </row>
    <row r="38" spans="1:11" ht="29.5" customHeight="1">
      <c r="A38" s="74"/>
      <c r="B38" s="79"/>
      <c r="C38" s="166" t="s">
        <v>141</v>
      </c>
      <c r="D38" s="90" t="s">
        <v>127</v>
      </c>
      <c r="E38" s="91"/>
      <c r="G38" s="19" t="s">
        <v>125</v>
      </c>
      <c r="H38" s="20">
        <v>15</v>
      </c>
      <c r="I38" s="20">
        <f>B36*C36/1000000*H38+E36/1000</f>
        <v>4.5</v>
      </c>
      <c r="J38" s="20">
        <f>IF(J24=8,I38,J39)</f>
        <v>0</v>
      </c>
    </row>
    <row r="39" spans="1:11" ht="25.4" customHeight="1">
      <c r="A39" s="75"/>
      <c r="B39" s="80"/>
      <c r="C39" s="45">
        <f>IF(J24=1,I31,J32)</f>
        <v>3.6</v>
      </c>
      <c r="D39" s="92">
        <f>C39*B36</f>
        <v>2160</v>
      </c>
      <c r="E39" s="93"/>
      <c r="G39" s="19" t="s">
        <v>126</v>
      </c>
      <c r="H39" s="20">
        <v>11.2</v>
      </c>
      <c r="I39" s="20">
        <f>B36*C36/1000000*H39+E36/1000</f>
        <v>3.36</v>
      </c>
      <c r="J39" s="20">
        <f>IF(J24=9,I39,J40)</f>
        <v>0</v>
      </c>
    </row>
    <row r="40" spans="1:11" ht="25.75" customHeight="1">
      <c r="A40" s="76">
        <v>3</v>
      </c>
      <c r="B40" s="46" t="s">
        <v>133</v>
      </c>
      <c r="C40" s="38" t="s">
        <v>128</v>
      </c>
      <c r="D40" s="94" t="s">
        <v>129</v>
      </c>
      <c r="E40" s="95"/>
      <c r="G40" t="str">
        <f>IF(D39&lt;580,"фасад слишком маленький",IF(D39&lt;1060,"SQ2FBL03A",IF(D39&lt;1800,"SQ2FBM03A",IF(D39&lt;2600,"SQ2FBH03A",IF(D39&lt;=5000,"SQ2FBC03A","")))))</f>
        <v>SQ2FBH03A</v>
      </c>
      <c r="H40" t="str">
        <f>IF(D39&lt;580,"фасад слишком маленький!",IF(D39&lt;1060,"SQ2FBL03B",IF(D39&lt;1800,"SQ2FBM03B",IF(D39&lt;2600,"SQ2FBH03B",IF(D39&lt;=5000,"SQ2FBC03B","")))))</f>
        <v>SQ2FBH03B</v>
      </c>
    </row>
    <row r="41" spans="1:11" ht="32.5" customHeight="1">
      <c r="A41" s="77"/>
      <c r="B41" s="47" t="s">
        <v>143</v>
      </c>
      <c r="C41" s="48" t="str">
        <f>G40</f>
        <v>SQ2FBH03A</v>
      </c>
      <c r="D41" s="98" t="str">
        <f>H40</f>
        <v>SQ2FBH03B</v>
      </c>
      <c r="E41" s="99"/>
      <c r="G41" t="str">
        <f>IF(D39&gt;7500,"фасад слишком большой",IF(D39&gt;6000,"3pcs of SQ2FBC03A",IF(D39&gt;5000,"3pcs of SQ2FBH03A",IF(D39&lt;=5000,""))))</f>
        <v/>
      </c>
      <c r="H41" t="str">
        <f>IF(D39&gt;7500,"фасад слишком большой",IF(D39&gt;6000,"3pcs of SQ2FBC03B",IF(D39&gt;5000,"3pcs of SQ2FBH03B",IF(D39&lt;=5000,""))))</f>
        <v/>
      </c>
    </row>
    <row r="42" spans="1:11" ht="53" customHeight="1">
      <c r="A42" s="78"/>
      <c r="B42" s="184" t="s">
        <v>131</v>
      </c>
      <c r="C42" s="50" t="str">
        <f>G41</f>
        <v/>
      </c>
      <c r="D42" s="100" t="str">
        <f>H41</f>
        <v/>
      </c>
      <c r="E42" s="101"/>
    </row>
    <row r="43" spans="1:11" ht="61.4" customHeight="1">
      <c r="A43" s="73">
        <v>4</v>
      </c>
      <c r="B43" s="169" t="s">
        <v>132</v>
      </c>
      <c r="C43" s="82"/>
      <c r="D43" s="82"/>
      <c r="E43" s="83"/>
    </row>
    <row r="44" spans="1:11" ht="29">
      <c r="A44" s="74"/>
      <c r="B44" s="40" t="s">
        <v>134</v>
      </c>
      <c r="C44" s="161" t="s">
        <v>135</v>
      </c>
      <c r="D44" s="162" t="s">
        <v>136</v>
      </c>
      <c r="E44" s="163"/>
    </row>
    <row r="45" spans="1:11">
      <c r="A45" s="74"/>
      <c r="B45" s="28" t="s">
        <v>19</v>
      </c>
      <c r="C45" s="42" t="s">
        <v>20</v>
      </c>
      <c r="D45" s="69">
        <v>965</v>
      </c>
      <c r="E45" s="70"/>
    </row>
    <row r="46" spans="1:11">
      <c r="A46" s="74"/>
      <c r="B46" s="28" t="s">
        <v>21</v>
      </c>
      <c r="C46" s="42" t="s">
        <v>22</v>
      </c>
      <c r="D46" s="69">
        <v>1755</v>
      </c>
      <c r="E46" s="70"/>
    </row>
    <row r="47" spans="1:11">
      <c r="A47" s="74"/>
      <c r="B47" s="28" t="s">
        <v>23</v>
      </c>
      <c r="C47" s="42" t="s">
        <v>24</v>
      </c>
      <c r="D47" s="69">
        <v>2900</v>
      </c>
      <c r="E47" s="70"/>
    </row>
    <row r="48" spans="1:11">
      <c r="A48" s="75"/>
      <c r="B48" s="43" t="s">
        <v>25</v>
      </c>
      <c r="C48" s="42" t="s">
        <v>26</v>
      </c>
      <c r="D48" s="71">
        <v>3800</v>
      </c>
      <c r="E48" s="72"/>
    </row>
    <row r="49" spans="1:5">
      <c r="A49" s="63" t="s">
        <v>137</v>
      </c>
      <c r="B49" s="64"/>
      <c r="C49" s="64"/>
      <c r="D49" s="64"/>
      <c r="E49" s="65"/>
    </row>
    <row r="50" spans="1:5">
      <c r="A50" s="66"/>
      <c r="B50" s="67"/>
      <c r="C50" s="67"/>
      <c r="D50" s="67"/>
      <c r="E50" s="68"/>
    </row>
  </sheetData>
  <sheetProtection algorithmName="SHA-512" hashValue="Zcxcl60PxeSkEb8Asp/Hm/0KfjBewUaLyEZE0mx4vP6bpIwuE0NDoMtJf7ijr0T4YsfDERIBTHF1PwF5ciS0qg==" saltValue="ipEVhs6NLc2h3Az+MFy8Jw==" spinCount="100000" sheet="1" objects="1" scenarios="1"/>
  <mergeCells count="44">
    <mergeCell ref="H1:I1"/>
    <mergeCell ref="B8:E8"/>
    <mergeCell ref="B11:E11"/>
    <mergeCell ref="D12:E12"/>
    <mergeCell ref="D13:E13"/>
    <mergeCell ref="D9:D10"/>
    <mergeCell ref="H24:I24"/>
    <mergeCell ref="D14:E14"/>
    <mergeCell ref="D15:E15"/>
    <mergeCell ref="D16:E16"/>
    <mergeCell ref="B17:E17"/>
    <mergeCell ref="D18:E18"/>
    <mergeCell ref="A23:E24"/>
    <mergeCell ref="D19:E19"/>
    <mergeCell ref="D20:E20"/>
    <mergeCell ref="D21:E21"/>
    <mergeCell ref="D22:E22"/>
    <mergeCell ref="B43:E43"/>
    <mergeCell ref="D44:E44"/>
    <mergeCell ref="D45:E45"/>
    <mergeCell ref="B34:E34"/>
    <mergeCell ref="B37:E37"/>
    <mergeCell ref="D38:E38"/>
    <mergeCell ref="D39:E39"/>
    <mergeCell ref="D40:E40"/>
    <mergeCell ref="D35:D36"/>
    <mergeCell ref="D41:E41"/>
    <mergeCell ref="D42:E42"/>
    <mergeCell ref="A27:E33"/>
    <mergeCell ref="A1:E7"/>
    <mergeCell ref="A49:E50"/>
    <mergeCell ref="D46:E46"/>
    <mergeCell ref="D47:E47"/>
    <mergeCell ref="D48:E48"/>
    <mergeCell ref="A8:A10"/>
    <mergeCell ref="A11:A13"/>
    <mergeCell ref="A14:A16"/>
    <mergeCell ref="A17:A22"/>
    <mergeCell ref="A34:A36"/>
    <mergeCell ref="A37:A39"/>
    <mergeCell ref="A40:A42"/>
    <mergeCell ref="A43:A48"/>
    <mergeCell ref="B12:B13"/>
    <mergeCell ref="B38:B39"/>
  </mergeCells>
  <hyperlinks>
    <hyperlink ref="A23" r:id="rId1" xr:uid="{00000000-0004-0000-0000-000000000000}"/>
    <hyperlink ref="A49" r:id="rId2" xr:uid="{00000000-0004-0000-0000-000001000000}"/>
  </hyperlinks>
  <pageMargins left="0.25" right="0.25" top="0.75" bottom="0.75" header="0.3" footer="0.3"/>
  <pageSetup paperSize="9" orientation="portrait"/>
  <drawing r:id="rId3"/>
  <legacyDrawing r:id="rId4"/>
  <oleObjects>
    <mc:AlternateContent xmlns:mc="http://schemas.openxmlformats.org/markup-compatibility/2006">
      <mc:Choice Requires="x14">
        <oleObject progId="CorelDraw.Graphic.18" shapeId="7170" r:id="rId5">
          <objectPr defaultSize="0" r:id="rId6">
            <anchor moveWithCells="1">
              <from>
                <xdr:col>0</xdr:col>
                <xdr:colOff>152400</xdr:colOff>
                <xdr:row>0</xdr:row>
                <xdr:rowOff>158750</xdr:rowOff>
              </from>
              <to>
                <xdr:col>1</xdr:col>
                <xdr:colOff>1638300</xdr:colOff>
                <xdr:row>2</xdr:row>
                <xdr:rowOff>25400</xdr:rowOff>
              </to>
            </anchor>
          </objectPr>
        </oleObject>
      </mc:Choice>
      <mc:Fallback>
        <oleObject progId="CorelDraw.Graphic.18" shapeId="7170" r:id="rId5"/>
      </mc:Fallback>
    </mc:AlternateContent>
    <mc:AlternateContent xmlns:mc="http://schemas.openxmlformats.org/markup-compatibility/2006">
      <mc:Choice Requires="x14">
        <oleObject progId="CorelDraw.Graphic.18" shapeId="7171" r:id="rId7">
          <objectPr defaultSize="0" r:id="rId6">
            <anchor moveWithCells="1">
              <from>
                <xdr:col>0</xdr:col>
                <xdr:colOff>152400</xdr:colOff>
                <xdr:row>26</xdr:row>
                <xdr:rowOff>158750</xdr:rowOff>
              </from>
              <to>
                <xdr:col>1</xdr:col>
                <xdr:colOff>1638300</xdr:colOff>
                <xdr:row>28</xdr:row>
                <xdr:rowOff>6350</xdr:rowOff>
              </to>
            </anchor>
          </objectPr>
        </oleObject>
      </mc:Choice>
      <mc:Fallback>
        <oleObject progId="CorelDraw.Graphic.18" shapeId="7171" r:id="rId7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8" name="Drop Down 1">
              <controlPr defaultSize="0" autoPict="0">
                <anchor>
                  <from>
                    <xdr:col>1</xdr:col>
                    <xdr:colOff>44450</xdr:colOff>
                    <xdr:row>11</xdr:row>
                    <xdr:rowOff>76200</xdr:rowOff>
                  </from>
                  <to>
                    <xdr:col>1</xdr:col>
                    <xdr:colOff>2159000</xdr:colOff>
                    <xdr:row>12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9" name="Drop Down 4">
              <controlPr defaultSize="0" autoPict="0">
                <anchor>
                  <from>
                    <xdr:col>1</xdr:col>
                    <xdr:colOff>101600</xdr:colOff>
                    <xdr:row>37</xdr:row>
                    <xdr:rowOff>76200</xdr:rowOff>
                  </from>
                  <to>
                    <xdr:col>1</xdr:col>
                    <xdr:colOff>2159000</xdr:colOff>
                    <xdr:row>38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topLeftCell="A27" zoomScale="55" zoomScaleNormal="55" workbookViewId="0">
      <selection activeCell="K34" sqref="K34"/>
    </sheetView>
  </sheetViews>
  <sheetFormatPr defaultColWidth="9.1796875" defaultRowHeight="14.5"/>
  <cols>
    <col min="1" max="1" width="4.453125" customWidth="1"/>
    <col min="2" max="2" width="32.453125" customWidth="1"/>
    <col min="3" max="3" width="30.36328125" customWidth="1"/>
    <col min="4" max="4" width="8.08984375" customWidth="1"/>
    <col min="5" max="5" width="25.7265625" customWidth="1"/>
    <col min="6" max="6" width="18.54296875" customWidth="1"/>
    <col min="7" max="7" width="21" hidden="1" customWidth="1"/>
    <col min="8" max="8" width="12.90625" hidden="1" customWidth="1"/>
    <col min="9" max="9" width="18" hidden="1" customWidth="1"/>
    <col min="10" max="10" width="14" hidden="1" customWidth="1"/>
    <col min="11" max="11" width="18.7265625" customWidth="1"/>
    <col min="12" max="14" width="8.6328125" customWidth="1"/>
  </cols>
  <sheetData>
    <row r="1" spans="1:10" ht="30" customHeight="1">
      <c r="A1" s="108" t="s">
        <v>27</v>
      </c>
      <c r="B1" s="55"/>
      <c r="C1" s="55"/>
      <c r="D1" s="55"/>
      <c r="E1" s="56"/>
      <c r="H1" s="102" t="s">
        <v>28</v>
      </c>
      <c r="I1" s="102"/>
      <c r="J1" s="18">
        <v>7</v>
      </c>
    </row>
    <row r="2" spans="1:10" ht="30" customHeight="1">
      <c r="A2" s="57"/>
      <c r="B2" s="58"/>
      <c r="C2" s="58"/>
      <c r="D2" s="58"/>
      <c r="E2" s="59"/>
    </row>
    <row r="3" spans="1:10" ht="30" customHeight="1">
      <c r="A3" s="57"/>
      <c r="B3" s="58"/>
      <c r="C3" s="58"/>
      <c r="D3" s="58"/>
      <c r="E3" s="59"/>
    </row>
    <row r="4" spans="1:10" ht="30" customHeight="1">
      <c r="A4" s="57"/>
      <c r="B4" s="58"/>
      <c r="C4" s="58"/>
      <c r="D4" s="58"/>
      <c r="E4" s="59"/>
    </row>
    <row r="5" spans="1:10" ht="14.9" customHeight="1">
      <c r="A5" s="57"/>
      <c r="B5" s="58"/>
      <c r="C5" s="58"/>
      <c r="D5" s="58"/>
      <c r="E5" s="59"/>
    </row>
    <row r="6" spans="1:10" ht="14.9" customHeight="1">
      <c r="A6" s="57"/>
      <c r="B6" s="58"/>
      <c r="C6" s="58"/>
      <c r="D6" s="58"/>
      <c r="E6" s="59"/>
    </row>
    <row r="7" spans="1:10" ht="15" customHeight="1">
      <c r="A7" s="60"/>
      <c r="B7" s="61"/>
      <c r="C7" s="61"/>
      <c r="D7" s="61"/>
      <c r="E7" s="62"/>
      <c r="G7" s="19" t="s">
        <v>2</v>
      </c>
      <c r="H7" s="19" t="s">
        <v>3</v>
      </c>
      <c r="I7" s="19" t="s">
        <v>4</v>
      </c>
      <c r="J7" s="19" t="s">
        <v>5</v>
      </c>
    </row>
    <row r="8" spans="1:10" ht="30" customHeight="1">
      <c r="A8" s="74">
        <v>1</v>
      </c>
      <c r="B8" s="84" t="s">
        <v>114</v>
      </c>
      <c r="C8" s="85"/>
      <c r="D8" s="85"/>
      <c r="E8" s="86"/>
      <c r="G8" s="19" t="s">
        <v>118</v>
      </c>
      <c r="H8" s="20">
        <v>10.9</v>
      </c>
      <c r="I8" s="20">
        <f>B10*C10/1000000*H8+E10/1000</f>
        <v>5.9080000000000013</v>
      </c>
      <c r="J8" s="18" t="s">
        <v>6</v>
      </c>
    </row>
    <row r="9" spans="1:10" ht="18" customHeight="1">
      <c r="A9" s="74"/>
      <c r="B9" s="35" t="s">
        <v>115</v>
      </c>
      <c r="C9" s="36" t="s">
        <v>116</v>
      </c>
      <c r="D9" s="96" t="s">
        <v>7</v>
      </c>
      <c r="E9" s="23" t="s">
        <v>117</v>
      </c>
      <c r="G9" s="19" t="s">
        <v>119</v>
      </c>
      <c r="H9" s="20">
        <v>12.2</v>
      </c>
      <c r="I9" s="20">
        <f>B10*C10/1000000*H9+E10/1000</f>
        <v>6.61</v>
      </c>
      <c r="J9" s="20">
        <f>IF(J1=2,I9,J10)</f>
        <v>6.5020000000000007</v>
      </c>
    </row>
    <row r="10" spans="1:10" ht="27" customHeight="1">
      <c r="A10" s="75"/>
      <c r="B10" s="24">
        <v>600</v>
      </c>
      <c r="C10" s="25">
        <v>900</v>
      </c>
      <c r="D10" s="97"/>
      <c r="E10" s="26">
        <v>22</v>
      </c>
      <c r="G10" s="19" t="s">
        <v>120</v>
      </c>
      <c r="H10" s="20">
        <v>12.1</v>
      </c>
      <c r="I10" s="20">
        <f>B10*C10/1000000*H10+E10/1000</f>
        <v>6.556</v>
      </c>
      <c r="J10" s="20">
        <f>IF(J1=3,I10,J11)</f>
        <v>6.5020000000000007</v>
      </c>
    </row>
    <row r="11" spans="1:10" ht="30" customHeight="1">
      <c r="A11" s="73">
        <v>2</v>
      </c>
      <c r="B11" s="167" t="s">
        <v>140</v>
      </c>
      <c r="C11" s="88"/>
      <c r="D11" s="88"/>
      <c r="E11" s="89"/>
      <c r="G11" s="19" t="s">
        <v>121</v>
      </c>
      <c r="H11" s="20">
        <v>14.5</v>
      </c>
      <c r="I11" s="20">
        <f>B10*C10/1000000*H11+E10/1000</f>
        <v>7.8520000000000003</v>
      </c>
      <c r="J11" s="20">
        <f>IF(J1=4,I11,J12)</f>
        <v>6.5020000000000007</v>
      </c>
    </row>
    <row r="12" spans="1:10" ht="23.5" customHeight="1">
      <c r="A12" s="74"/>
      <c r="B12" s="79"/>
      <c r="C12" s="166" t="s">
        <v>141</v>
      </c>
      <c r="D12" s="111" t="s">
        <v>127</v>
      </c>
      <c r="E12" s="112"/>
      <c r="G12" s="19" t="s">
        <v>122</v>
      </c>
      <c r="H12" s="20">
        <v>16.5</v>
      </c>
      <c r="I12" s="20">
        <f>B10*C10/1000000*H12+E10/1000</f>
        <v>8.9320000000000004</v>
      </c>
      <c r="J12" s="20">
        <f>IF(J1=5,I12,J13)</f>
        <v>6.5020000000000007</v>
      </c>
    </row>
    <row r="13" spans="1:10" ht="37.75" customHeight="1">
      <c r="A13" s="74"/>
      <c r="B13" s="121"/>
      <c r="C13" s="37">
        <f>IF(J1=1,I8,J9)</f>
        <v>6.5020000000000007</v>
      </c>
      <c r="D13" s="119">
        <f>C13*B10</f>
        <v>3901.2000000000003</v>
      </c>
      <c r="E13" s="120"/>
      <c r="F13" s="22"/>
      <c r="G13" s="19" t="s">
        <v>147</v>
      </c>
      <c r="H13" s="20">
        <v>11</v>
      </c>
      <c r="I13" s="20">
        <f>B10*C10/1000000*H13+E10/1000</f>
        <v>5.9620000000000006</v>
      </c>
      <c r="J13" s="20">
        <f>IF(J1=6,I13,J14)</f>
        <v>6.5020000000000007</v>
      </c>
    </row>
    <row r="14" spans="1:10" ht="25.4" customHeight="1">
      <c r="A14" s="76">
        <v>3</v>
      </c>
      <c r="B14" s="109" t="s">
        <v>130</v>
      </c>
      <c r="C14" s="38" t="s">
        <v>144</v>
      </c>
      <c r="D14" s="115" t="s">
        <v>145</v>
      </c>
      <c r="E14" s="116"/>
      <c r="F14" s="22"/>
      <c r="G14" s="19" t="s">
        <v>148</v>
      </c>
      <c r="H14" s="20">
        <v>12</v>
      </c>
      <c r="I14" s="20">
        <f>B10*C10/1000000*H14+E10/1000</f>
        <v>6.5020000000000007</v>
      </c>
      <c r="J14" s="20">
        <f>IF(J1=7,I14,J15)</f>
        <v>6.5020000000000007</v>
      </c>
    </row>
    <row r="15" spans="1:10" ht="35.5" customHeight="1">
      <c r="A15" s="78"/>
      <c r="B15" s="110"/>
      <c r="C15" s="39" t="str">
        <f>G17</f>
        <v/>
      </c>
      <c r="D15" s="117" t="str">
        <f>G18</f>
        <v>2 комплекта SE00AH01</v>
      </c>
      <c r="E15" s="118"/>
      <c r="G15" s="19" t="s">
        <v>149</v>
      </c>
      <c r="H15" s="20">
        <v>15</v>
      </c>
      <c r="I15" s="20">
        <f>B10*C10/1000000*H15+E10/1000</f>
        <v>8.1220000000000017</v>
      </c>
      <c r="J15" s="20">
        <f>IF(J1=8,I15,J16)</f>
        <v>0</v>
      </c>
    </row>
    <row r="16" spans="1:10" ht="85" customHeight="1">
      <c r="A16" s="73">
        <v>4</v>
      </c>
      <c r="B16" s="81" t="s">
        <v>146</v>
      </c>
      <c r="C16" s="82"/>
      <c r="D16" s="82"/>
      <c r="E16" s="83"/>
      <c r="G16" s="19" t="s">
        <v>126</v>
      </c>
      <c r="H16" s="20">
        <v>11.2</v>
      </c>
      <c r="I16" s="20">
        <f>B10*C10/1000000*H16+E10/1000</f>
        <v>6.07</v>
      </c>
      <c r="J16" s="20">
        <f>IF(J1=9,I16,J17)</f>
        <v>0</v>
      </c>
    </row>
    <row r="17" spans="1:10" ht="27" customHeight="1">
      <c r="A17" s="74"/>
      <c r="B17" s="40" t="s">
        <v>150</v>
      </c>
      <c r="C17" s="161" t="s">
        <v>151</v>
      </c>
      <c r="D17" s="162" t="s">
        <v>136</v>
      </c>
      <c r="E17" s="163"/>
      <c r="G17" s="41" t="str">
        <f>IF(D13&lt;200,"фасад слишком маленький",IF(D13&lt;500,"SE00AL01",IF(D13&lt;960,"SE00AM01",IF(D13&lt;=2350,"SE00AH01",""))))</f>
        <v/>
      </c>
    </row>
    <row r="18" spans="1:10" ht="15.65" customHeight="1">
      <c r="A18" s="74"/>
      <c r="B18" s="28" t="s">
        <v>29</v>
      </c>
      <c r="C18" s="42" t="s">
        <v>30</v>
      </c>
      <c r="D18" s="69">
        <v>600</v>
      </c>
      <c r="E18" s="70"/>
      <c r="G18" s="41" t="str">
        <f>IF(D13&gt;4700,"фасад слишком большой",IF(D13&gt;2350,"2 комплекта SE00AH01",""))</f>
        <v>2 комплекта SE00AH01</v>
      </c>
    </row>
    <row r="19" spans="1:10" ht="15.65" customHeight="1">
      <c r="A19" s="74"/>
      <c r="B19" s="28" t="s">
        <v>31</v>
      </c>
      <c r="C19" s="42" t="s">
        <v>32</v>
      </c>
      <c r="D19" s="69">
        <v>1000</v>
      </c>
      <c r="E19" s="70"/>
    </row>
    <row r="20" spans="1:10" ht="15.65" customHeight="1">
      <c r="A20" s="75"/>
      <c r="B20" s="43" t="s">
        <v>33</v>
      </c>
      <c r="C20" s="44" t="s">
        <v>34</v>
      </c>
      <c r="D20" s="71">
        <v>1655</v>
      </c>
      <c r="E20" s="72"/>
    </row>
    <row r="21" spans="1:10">
      <c r="A21" s="63" t="s">
        <v>137</v>
      </c>
      <c r="B21" s="64"/>
      <c r="C21" s="64"/>
      <c r="D21" s="64"/>
      <c r="E21" s="65"/>
    </row>
    <row r="22" spans="1:10">
      <c r="A22" s="66"/>
      <c r="B22" s="67"/>
      <c r="C22" s="67"/>
      <c r="D22" s="67"/>
      <c r="E22" s="68"/>
    </row>
    <row r="23" spans="1:10" ht="10" customHeight="1"/>
    <row r="24" spans="1:10" ht="30" customHeight="1"/>
    <row r="25" spans="1:10" ht="30" customHeight="1"/>
    <row r="26" spans="1:10" ht="30" customHeight="1">
      <c r="A26" s="108" t="s">
        <v>35</v>
      </c>
      <c r="B26" s="55"/>
      <c r="C26" s="55"/>
      <c r="D26" s="55"/>
      <c r="E26" s="56"/>
      <c r="H26" s="102" t="s">
        <v>28</v>
      </c>
      <c r="I26" s="102"/>
      <c r="J26" s="18">
        <v>6</v>
      </c>
    </row>
    <row r="27" spans="1:10" ht="30" customHeight="1">
      <c r="A27" s="57"/>
      <c r="B27" s="58"/>
      <c r="C27" s="58"/>
      <c r="D27" s="58"/>
      <c r="E27" s="59"/>
    </row>
    <row r="28" spans="1:10" ht="14.9" customHeight="1">
      <c r="A28" s="57"/>
      <c r="B28" s="58"/>
      <c r="C28" s="58"/>
      <c r="D28" s="58"/>
      <c r="E28" s="59"/>
    </row>
    <row r="29" spans="1:10" ht="14.9" customHeight="1">
      <c r="A29" s="57"/>
      <c r="B29" s="58"/>
      <c r="C29" s="58"/>
      <c r="D29" s="58"/>
      <c r="E29" s="59"/>
    </row>
    <row r="30" spans="1:10" ht="15" customHeight="1">
      <c r="A30" s="57"/>
      <c r="B30" s="58"/>
      <c r="C30" s="58"/>
      <c r="D30" s="58"/>
      <c r="E30" s="59"/>
    </row>
    <row r="31" spans="1:10" ht="30" customHeight="1">
      <c r="A31" s="57"/>
      <c r="B31" s="58"/>
      <c r="C31" s="58"/>
      <c r="D31" s="58"/>
      <c r="E31" s="59"/>
    </row>
    <row r="32" spans="1:10">
      <c r="A32" s="60"/>
      <c r="B32" s="61"/>
      <c r="C32" s="61"/>
      <c r="D32" s="61"/>
      <c r="E32" s="62"/>
      <c r="G32" s="19" t="s">
        <v>2</v>
      </c>
      <c r="H32" s="19" t="s">
        <v>3</v>
      </c>
      <c r="I32" s="19" t="s">
        <v>4</v>
      </c>
      <c r="J32" s="19" t="s">
        <v>5</v>
      </c>
    </row>
    <row r="33" spans="1:11" ht="30" customHeight="1">
      <c r="A33" s="74">
        <v>1</v>
      </c>
      <c r="B33" s="84" t="s">
        <v>114</v>
      </c>
      <c r="C33" s="85"/>
      <c r="D33" s="85"/>
      <c r="E33" s="86"/>
      <c r="G33" s="19" t="s">
        <v>118</v>
      </c>
      <c r="H33" s="20">
        <v>10.9</v>
      </c>
      <c r="I33" s="20">
        <f>B35*C35/1000000*H33+E35/1000</f>
        <v>0.68700000000000006</v>
      </c>
      <c r="J33" s="18" t="s">
        <v>6</v>
      </c>
    </row>
    <row r="34" spans="1:11" ht="30" customHeight="1">
      <c r="A34" s="74"/>
      <c r="B34" s="35" t="s">
        <v>115</v>
      </c>
      <c r="C34" s="36" t="s">
        <v>116</v>
      </c>
      <c r="D34" s="96" t="s">
        <v>7</v>
      </c>
      <c r="E34" s="173" t="s">
        <v>117</v>
      </c>
      <c r="G34" s="19" t="s">
        <v>119</v>
      </c>
      <c r="H34" s="20">
        <v>12.2</v>
      </c>
      <c r="I34" s="20">
        <f>B35*C35/1000000*H34+E35/1000</f>
        <v>0.76500000000000001</v>
      </c>
      <c r="J34" s="20">
        <f>IF(J26=2,I34,J35)</f>
        <v>0.753</v>
      </c>
    </row>
    <row r="35" spans="1:11" ht="21.65" customHeight="1">
      <c r="A35" s="75"/>
      <c r="B35" s="24">
        <v>200</v>
      </c>
      <c r="C35" s="25">
        <v>300</v>
      </c>
      <c r="D35" s="97"/>
      <c r="E35" s="26">
        <v>33</v>
      </c>
      <c r="G35" s="19" t="s">
        <v>120</v>
      </c>
      <c r="H35" s="20">
        <v>12.1</v>
      </c>
      <c r="I35" s="20">
        <f>B35*C35/1000000*H35+E35/1000</f>
        <v>0.75900000000000001</v>
      </c>
      <c r="J35" s="20">
        <f>IF(J26=3,I35,J36)</f>
        <v>0.753</v>
      </c>
    </row>
    <row r="36" spans="1:11" ht="30" customHeight="1">
      <c r="A36" s="73">
        <v>2</v>
      </c>
      <c r="B36" s="167" t="s">
        <v>140</v>
      </c>
      <c r="C36" s="88"/>
      <c r="D36" s="88"/>
      <c r="E36" s="89"/>
      <c r="F36" s="41"/>
      <c r="G36" s="19" t="s">
        <v>121</v>
      </c>
      <c r="H36" s="20">
        <v>14.5</v>
      </c>
      <c r="I36" s="20">
        <f>B35*C35/1000000*H36+E35/1000</f>
        <v>0.90300000000000002</v>
      </c>
      <c r="J36" s="20">
        <f>IF(J26=4,I36,J37)</f>
        <v>0.753</v>
      </c>
      <c r="K36" s="41"/>
    </row>
    <row r="37" spans="1:11" ht="42" customHeight="1">
      <c r="A37" s="74"/>
      <c r="B37" s="79"/>
      <c r="C37" s="166" t="s">
        <v>141</v>
      </c>
      <c r="D37" s="111" t="s">
        <v>127</v>
      </c>
      <c r="E37" s="112"/>
      <c r="F37" s="41"/>
      <c r="G37" s="19" t="s">
        <v>147</v>
      </c>
      <c r="H37" s="20">
        <v>11</v>
      </c>
      <c r="I37" s="20">
        <f>B35*C35/1000000*H37+E35/1000</f>
        <v>0.69299999999999995</v>
      </c>
      <c r="J37" s="20">
        <f>IF(J26=5,I37,J38)</f>
        <v>0.753</v>
      </c>
      <c r="K37" s="41"/>
    </row>
    <row r="38" spans="1:11" ht="26.5" customHeight="1">
      <c r="A38" s="75"/>
      <c r="B38" s="80"/>
      <c r="C38" s="45">
        <f>IF(J26=1,I33,J34)</f>
        <v>0.753</v>
      </c>
      <c r="D38" s="113">
        <f>C38*B35</f>
        <v>150.6</v>
      </c>
      <c r="E38" s="114"/>
      <c r="G38" s="19" t="s">
        <v>148</v>
      </c>
      <c r="H38" s="20">
        <v>12</v>
      </c>
      <c r="I38" s="20">
        <f>B35*C35/1000000*H38+E35/1000</f>
        <v>0.753</v>
      </c>
      <c r="J38" s="20">
        <f>IF(J26=6,I38,J39)</f>
        <v>0.753</v>
      </c>
    </row>
    <row r="39" spans="1:11" ht="29.5" customHeight="1">
      <c r="A39" s="76">
        <v>3</v>
      </c>
      <c r="B39" s="109" t="s">
        <v>130</v>
      </c>
      <c r="C39" s="38" t="s">
        <v>144</v>
      </c>
      <c r="D39" s="115" t="s">
        <v>145</v>
      </c>
      <c r="E39" s="116"/>
      <c r="G39" s="19" t="s">
        <v>126</v>
      </c>
      <c r="H39" s="20">
        <v>11.2</v>
      </c>
      <c r="I39" s="20">
        <f>B35*C35/1000000*H39+E35/1000</f>
        <v>0.70499999999999996</v>
      </c>
      <c r="J39" s="20">
        <f>IF(J26=7,I39,J40)</f>
        <v>0</v>
      </c>
    </row>
    <row r="40" spans="1:11" ht="29.5" customHeight="1">
      <c r="A40" s="78"/>
      <c r="B40" s="110"/>
      <c r="C40" s="39" t="str">
        <f>G40</f>
        <v>фасад слишком маленький</v>
      </c>
      <c r="D40" s="117" t="str">
        <f>G41</f>
        <v/>
      </c>
      <c r="E40" s="118"/>
      <c r="G40" s="41" t="str">
        <f>IF(D38&lt;200,"фасад слишком маленький",IF(D38&lt;500,"SE2FAL01",IF(D38&lt;960,"SE2FAM01",IF(D38&lt;=2050,"SE2FAH01",""))))</f>
        <v>фасад слишком маленький</v>
      </c>
    </row>
    <row r="41" spans="1:11" ht="84.5" customHeight="1">
      <c r="A41" s="73">
        <v>4</v>
      </c>
      <c r="B41" s="81" t="s">
        <v>152</v>
      </c>
      <c r="C41" s="82"/>
      <c r="D41" s="82"/>
      <c r="E41" s="83"/>
      <c r="G41" s="41" t="str">
        <f>IF(D38&gt;4100,"фасад слишком большой",IF(D38&gt;2050,"2 комплекта SE2FAH01",""))</f>
        <v/>
      </c>
    </row>
    <row r="42" spans="1:11" ht="29">
      <c r="A42" s="74"/>
      <c r="B42" s="40" t="s">
        <v>150</v>
      </c>
      <c r="C42" s="161" t="s">
        <v>151</v>
      </c>
      <c r="D42" s="162" t="s">
        <v>136</v>
      </c>
      <c r="E42" s="163"/>
    </row>
    <row r="43" spans="1:11">
      <c r="A43" s="74"/>
      <c r="B43" s="28" t="s">
        <v>36</v>
      </c>
      <c r="C43" s="42" t="s">
        <v>30</v>
      </c>
      <c r="D43" s="69">
        <v>600</v>
      </c>
      <c r="E43" s="70"/>
    </row>
    <row r="44" spans="1:11">
      <c r="A44" s="74"/>
      <c r="B44" s="28" t="s">
        <v>37</v>
      </c>
      <c r="C44" s="42" t="s">
        <v>38</v>
      </c>
      <c r="D44" s="69">
        <v>950</v>
      </c>
      <c r="E44" s="70"/>
    </row>
    <row r="45" spans="1:11">
      <c r="A45" s="75"/>
      <c r="B45" s="43" t="s">
        <v>39</v>
      </c>
      <c r="C45" s="44" t="s">
        <v>40</v>
      </c>
      <c r="D45" s="71">
        <v>1505</v>
      </c>
      <c r="E45" s="72"/>
    </row>
    <row r="46" spans="1:11">
      <c r="A46" s="63" t="s">
        <v>137</v>
      </c>
      <c r="B46" s="64"/>
      <c r="C46" s="64"/>
      <c r="D46" s="64"/>
      <c r="E46" s="65"/>
    </row>
    <row r="47" spans="1:11">
      <c r="A47" s="66"/>
      <c r="B47" s="67"/>
      <c r="C47" s="67"/>
      <c r="D47" s="67"/>
      <c r="E47" s="68"/>
    </row>
  </sheetData>
  <sheetProtection algorithmName="SHA-512" hashValue="Qf97wcwQeTBsiR3O7uZjRf+DbWgKs6s/L9YgYoQURRZKV7LlFDkKckm/4NHBwQ6WIkhRSkTutjdMc31o2qBYLA==" saltValue="FNwCYLM/c9js49DMb3NJTg==" spinCount="100000" sheet="1" objects="1" scenarios="1"/>
  <mergeCells count="42">
    <mergeCell ref="H1:I1"/>
    <mergeCell ref="B8:E8"/>
    <mergeCell ref="B11:E11"/>
    <mergeCell ref="D12:E12"/>
    <mergeCell ref="D13:E13"/>
    <mergeCell ref="D9:D10"/>
    <mergeCell ref="A1:E7"/>
    <mergeCell ref="B12:B13"/>
    <mergeCell ref="A8:A10"/>
    <mergeCell ref="A11:A13"/>
    <mergeCell ref="H26:I26"/>
    <mergeCell ref="B33:E33"/>
    <mergeCell ref="B36:E36"/>
    <mergeCell ref="D34:D35"/>
    <mergeCell ref="A21:E22"/>
    <mergeCell ref="D14:E14"/>
    <mergeCell ref="D15:E15"/>
    <mergeCell ref="B16:E16"/>
    <mergeCell ref="D17:E17"/>
    <mergeCell ref="D18:E18"/>
    <mergeCell ref="D37:E37"/>
    <mergeCell ref="D38:E38"/>
    <mergeCell ref="D39:E39"/>
    <mergeCell ref="D40:E40"/>
    <mergeCell ref="D19:E19"/>
    <mergeCell ref="D20:E20"/>
    <mergeCell ref="A14:A15"/>
    <mergeCell ref="A16:A20"/>
    <mergeCell ref="A33:A35"/>
    <mergeCell ref="A46:E47"/>
    <mergeCell ref="A26:E32"/>
    <mergeCell ref="D42:E42"/>
    <mergeCell ref="D43:E43"/>
    <mergeCell ref="D44:E44"/>
    <mergeCell ref="D45:E45"/>
    <mergeCell ref="A36:A38"/>
    <mergeCell ref="A39:A40"/>
    <mergeCell ref="A41:A45"/>
    <mergeCell ref="B41:E41"/>
    <mergeCell ref="B14:B15"/>
    <mergeCell ref="B37:B38"/>
    <mergeCell ref="B39:B40"/>
  </mergeCells>
  <hyperlinks>
    <hyperlink ref="A21" r:id="rId1" xr:uid="{00000000-0004-0000-0300-000000000000}"/>
    <hyperlink ref="A46" r:id="rId2" xr:uid="{00000000-0004-0000-0300-000001000000}"/>
  </hyperlinks>
  <pageMargins left="0.25" right="0.25" top="0.75" bottom="0.75" header="0.3" footer="0.3"/>
  <pageSetup paperSize="9" orientation="portrait"/>
  <drawing r:id="rId3"/>
  <legacyDrawing r:id="rId4"/>
  <oleObjects>
    <mc:AlternateContent xmlns:mc="http://schemas.openxmlformats.org/markup-compatibility/2006">
      <mc:Choice Requires="x14">
        <oleObject progId="CorelDraw.Graphic.18" shapeId="5124" r:id="rId5">
          <objectPr defaultSize="0" r:id="rId6">
            <anchor moveWithCells="1">
              <from>
                <xdr:col>0</xdr:col>
                <xdr:colOff>152400</xdr:colOff>
                <xdr:row>0</xdr:row>
                <xdr:rowOff>152400</xdr:rowOff>
              </from>
              <to>
                <xdr:col>1</xdr:col>
                <xdr:colOff>1638300</xdr:colOff>
                <xdr:row>2</xdr:row>
                <xdr:rowOff>0</xdr:rowOff>
              </to>
            </anchor>
          </objectPr>
        </oleObject>
      </mc:Choice>
      <mc:Fallback>
        <oleObject progId="CorelDraw.Graphic.18" shapeId="5124" r:id="rId5"/>
      </mc:Fallback>
    </mc:AlternateContent>
    <mc:AlternateContent xmlns:mc="http://schemas.openxmlformats.org/markup-compatibility/2006">
      <mc:Choice Requires="x14">
        <oleObject progId="CorelDraw.Graphic.18" shapeId="5126" r:id="rId7">
          <objectPr defaultSize="0" r:id="rId6">
            <anchor moveWithCells="1">
              <from>
                <xdr:col>0</xdr:col>
                <xdr:colOff>152400</xdr:colOff>
                <xdr:row>25</xdr:row>
                <xdr:rowOff>152400</xdr:rowOff>
              </from>
              <to>
                <xdr:col>1</xdr:col>
                <xdr:colOff>1638300</xdr:colOff>
                <xdr:row>27</xdr:row>
                <xdr:rowOff>0</xdr:rowOff>
              </to>
            </anchor>
          </objectPr>
        </oleObject>
      </mc:Choice>
      <mc:Fallback>
        <oleObject progId="CorelDraw.Graphic.18" shapeId="5126" r:id="rId7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8" name="Drop Down 1">
              <controlPr defaultSize="0" autoPict="0">
                <anchor>
                  <from>
                    <xdr:col>1</xdr:col>
                    <xdr:colOff>31750</xdr:colOff>
                    <xdr:row>11</xdr:row>
                    <xdr:rowOff>203200</xdr:rowOff>
                  </from>
                  <to>
                    <xdr:col>1</xdr:col>
                    <xdr:colOff>2197100</xdr:colOff>
                    <xdr:row>12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" name="Drop Down 8">
              <controlPr defaultSize="0" autoPict="0">
                <anchor>
                  <from>
                    <xdr:col>1</xdr:col>
                    <xdr:colOff>38100</xdr:colOff>
                    <xdr:row>36</xdr:row>
                    <xdr:rowOff>139700</xdr:rowOff>
                  </from>
                  <to>
                    <xdr:col>1</xdr:col>
                    <xdr:colOff>2209800</xdr:colOff>
                    <xdr:row>37</xdr:row>
                    <xdr:rowOff>82550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7"/>
  <sheetViews>
    <sheetView topLeftCell="A6" zoomScale="55" zoomScaleNormal="55" workbookViewId="0">
      <selection activeCell="D21" sqref="D21:E21"/>
    </sheetView>
  </sheetViews>
  <sheetFormatPr defaultColWidth="9.1796875" defaultRowHeight="14.5"/>
  <cols>
    <col min="1" max="1" width="4.453125" customWidth="1"/>
    <col min="2" max="2" width="33.26953125" customWidth="1"/>
    <col min="3" max="3" width="30.36328125" customWidth="1"/>
    <col min="4" max="4" width="8.08984375" customWidth="1"/>
    <col min="5" max="5" width="23.36328125" customWidth="1"/>
    <col min="6" max="7" width="13.54296875" customWidth="1"/>
    <col min="8" max="8" width="23.36328125" hidden="1" customWidth="1"/>
    <col min="9" max="9" width="14.6328125" hidden="1" customWidth="1"/>
    <col min="10" max="10" width="16.36328125" hidden="1" customWidth="1"/>
    <col min="11" max="11" width="24.453125" hidden="1" customWidth="1"/>
    <col min="12" max="13" width="13.81640625" customWidth="1"/>
    <col min="14" max="15" width="8.6328125" customWidth="1"/>
  </cols>
  <sheetData>
    <row r="1" spans="1:12" ht="30" customHeight="1">
      <c r="A1" s="108" t="s">
        <v>41</v>
      </c>
      <c r="B1" s="55"/>
      <c r="C1" s="55"/>
      <c r="D1" s="55"/>
      <c r="E1" s="56"/>
      <c r="I1" s="102" t="s">
        <v>42</v>
      </c>
      <c r="J1" s="102"/>
      <c r="K1" s="18">
        <v>4</v>
      </c>
    </row>
    <row r="2" spans="1:12" ht="30" customHeight="1">
      <c r="A2" s="57"/>
      <c r="B2" s="58"/>
      <c r="C2" s="58"/>
      <c r="D2" s="58"/>
      <c r="E2" s="59"/>
    </row>
    <row r="3" spans="1:12" ht="30" customHeight="1">
      <c r="A3" s="57"/>
      <c r="B3" s="58"/>
      <c r="C3" s="58"/>
      <c r="D3" s="58"/>
      <c r="E3" s="59"/>
    </row>
    <row r="4" spans="1:12" ht="30" customHeight="1">
      <c r="A4" s="57"/>
      <c r="B4" s="58"/>
      <c r="C4" s="58"/>
      <c r="D4" s="58"/>
      <c r="E4" s="59"/>
    </row>
    <row r="5" spans="1:12" ht="14.9" customHeight="1">
      <c r="A5" s="57"/>
      <c r="B5" s="58"/>
      <c r="C5" s="58"/>
      <c r="D5" s="58"/>
      <c r="E5" s="59"/>
    </row>
    <row r="6" spans="1:12" ht="14.9" customHeight="1">
      <c r="A6" s="57"/>
      <c r="B6" s="58"/>
      <c r="C6" s="58"/>
      <c r="D6" s="58"/>
      <c r="E6" s="59"/>
    </row>
    <row r="7" spans="1:12" ht="20.5" customHeight="1">
      <c r="A7" s="60"/>
      <c r="B7" s="61"/>
      <c r="C7" s="61"/>
      <c r="D7" s="61"/>
      <c r="E7" s="62"/>
      <c r="H7" s="19" t="s">
        <v>2</v>
      </c>
      <c r="I7" s="19" t="s">
        <v>3</v>
      </c>
      <c r="J7" s="19" t="s">
        <v>4</v>
      </c>
      <c r="K7" s="19" t="s">
        <v>5</v>
      </c>
    </row>
    <row r="8" spans="1:12" ht="30" customHeight="1">
      <c r="A8" s="74">
        <v>1</v>
      </c>
      <c r="B8" s="84" t="s">
        <v>114</v>
      </c>
      <c r="C8" s="85"/>
      <c r="D8" s="85"/>
      <c r="E8" s="86"/>
      <c r="H8" s="19" t="s">
        <v>118</v>
      </c>
      <c r="I8" s="20">
        <v>10.9</v>
      </c>
      <c r="J8" s="20">
        <f>B10*C10/1000000*I8+E10/1000</f>
        <v>9.2560000000000002</v>
      </c>
      <c r="K8" s="18" t="s">
        <v>6</v>
      </c>
      <c r="L8" s="170"/>
    </row>
    <row r="9" spans="1:12">
      <c r="A9" s="74"/>
      <c r="B9" s="171" t="s">
        <v>153</v>
      </c>
      <c r="C9" s="172" t="s">
        <v>154</v>
      </c>
      <c r="D9" s="96" t="s">
        <v>7</v>
      </c>
      <c r="E9" s="173" t="s">
        <v>117</v>
      </c>
      <c r="H9" s="19" t="s">
        <v>119</v>
      </c>
      <c r="I9" s="20">
        <v>12.2</v>
      </c>
      <c r="J9" s="20">
        <f>B10*C10/1000000*I9+E10/1000</f>
        <v>10.348000000000001</v>
      </c>
      <c r="K9" s="20">
        <f>IF(K1=2,J9,K10)</f>
        <v>12.28</v>
      </c>
    </row>
    <row r="10" spans="1:12" ht="30" customHeight="1">
      <c r="A10" s="75"/>
      <c r="B10" s="24">
        <v>700</v>
      </c>
      <c r="C10" s="25">
        <v>1200</v>
      </c>
      <c r="D10" s="97"/>
      <c r="E10" s="26">
        <v>100</v>
      </c>
      <c r="H10" s="19" t="s">
        <v>120</v>
      </c>
      <c r="I10" s="20">
        <v>12.1</v>
      </c>
      <c r="J10" s="20">
        <f>B10*C10/1000000*I10+E10/1000</f>
        <v>10.263999999999999</v>
      </c>
      <c r="K10" s="20">
        <f>IF(K1=3,J10,K11)</f>
        <v>12.28</v>
      </c>
    </row>
    <row r="11" spans="1:12" ht="30" customHeight="1">
      <c r="A11" s="73">
        <v>2</v>
      </c>
      <c r="B11" s="87" t="s">
        <v>139</v>
      </c>
      <c r="C11" s="88"/>
      <c r="D11" s="88"/>
      <c r="E11" s="89"/>
      <c r="H11" s="19" t="s">
        <v>121</v>
      </c>
      <c r="I11" s="20">
        <v>14.5</v>
      </c>
      <c r="J11" s="20">
        <f>B10*C10/1000000*I11+E10/1000</f>
        <v>12.28</v>
      </c>
      <c r="K11" s="20">
        <f>IF(K1=4,J11,K12)</f>
        <v>12.28</v>
      </c>
    </row>
    <row r="12" spans="1:12">
      <c r="A12" s="74"/>
      <c r="B12" s="79"/>
      <c r="C12" s="166" t="s">
        <v>141</v>
      </c>
      <c r="D12" s="182" t="s">
        <v>142</v>
      </c>
      <c r="E12" s="112"/>
      <c r="H12" s="19" t="s">
        <v>122</v>
      </c>
      <c r="I12" s="20">
        <v>16.5</v>
      </c>
      <c r="J12" s="20">
        <f>B10*C10/1000000*I12+E10/1000</f>
        <v>13.96</v>
      </c>
      <c r="K12" s="20">
        <f>IF(K1=5,J12,K13)</f>
        <v>0</v>
      </c>
    </row>
    <row r="13" spans="1:12" ht="30" customHeight="1">
      <c r="A13" s="75"/>
      <c r="B13" s="80"/>
      <c r="C13" s="27">
        <f>IF(K1=1,J8,K9)</f>
        <v>12.28</v>
      </c>
      <c r="D13" s="113">
        <f>B10</f>
        <v>700</v>
      </c>
      <c r="E13" s="114"/>
      <c r="H13" s="19" t="s">
        <v>123</v>
      </c>
      <c r="I13" s="20">
        <v>11</v>
      </c>
      <c r="J13" s="20">
        <f>B10*C10/1000000*I13+E10/1000</f>
        <v>9.34</v>
      </c>
      <c r="K13" s="20">
        <f>IF(K1=6,J13,K14)</f>
        <v>0</v>
      </c>
    </row>
    <row r="14" spans="1:12" ht="80.150000000000006" customHeight="1">
      <c r="A14" s="73">
        <v>3</v>
      </c>
      <c r="B14" s="81" t="s">
        <v>166</v>
      </c>
      <c r="C14" s="82"/>
      <c r="D14" s="82"/>
      <c r="E14" s="83"/>
      <c r="F14" s="174" t="s">
        <v>130</v>
      </c>
      <c r="G14" s="175"/>
      <c r="H14" s="19" t="s">
        <v>124</v>
      </c>
      <c r="I14" s="20">
        <v>12</v>
      </c>
      <c r="J14" s="20">
        <f>B10*C10/1000000*I14+E10/1000</f>
        <v>10.18</v>
      </c>
      <c r="K14" s="20">
        <f>IF(K1=7,J14,K15)</f>
        <v>0</v>
      </c>
    </row>
    <row r="15" spans="1:12" ht="33" customHeight="1">
      <c r="A15" s="74"/>
      <c r="B15" s="181" t="s">
        <v>134</v>
      </c>
      <c r="C15" s="166" t="s">
        <v>141</v>
      </c>
      <c r="D15" s="183" t="s">
        <v>142</v>
      </c>
      <c r="E15" s="112"/>
      <c r="F15" s="176" t="s">
        <v>128</v>
      </c>
      <c r="G15" s="177" t="s">
        <v>129</v>
      </c>
      <c r="H15" s="19" t="s">
        <v>125</v>
      </c>
      <c r="I15" s="20">
        <v>15</v>
      </c>
      <c r="J15" s="20">
        <f>B10*C10/1000000*I15+E10/1000</f>
        <v>12.7</v>
      </c>
      <c r="K15" s="20">
        <f>IF(K1=8,J15,K16)</f>
        <v>0</v>
      </c>
    </row>
    <row r="16" spans="1:12">
      <c r="A16" s="74"/>
      <c r="B16" s="28" t="s">
        <v>43</v>
      </c>
      <c r="C16" s="9" t="s">
        <v>44</v>
      </c>
      <c r="D16" s="69" t="s">
        <v>45</v>
      </c>
      <c r="E16" s="70"/>
      <c r="F16" s="29" t="str">
        <f>H17</f>
        <v/>
      </c>
      <c r="G16" s="30" t="str">
        <f>I17</f>
        <v/>
      </c>
      <c r="H16" s="19" t="s">
        <v>126</v>
      </c>
      <c r="I16" s="34">
        <v>11.2</v>
      </c>
      <c r="J16" s="20">
        <f>B10*C10/1000000*I16+E10/1000</f>
        <v>9.5079999999999991</v>
      </c>
      <c r="K16" s="20">
        <f>IF(K1=9,J16,K17)</f>
        <v>0</v>
      </c>
    </row>
    <row r="17" spans="1:11">
      <c r="A17" s="74"/>
      <c r="B17" s="28" t="s">
        <v>46</v>
      </c>
      <c r="C17" s="9" t="s">
        <v>47</v>
      </c>
      <c r="D17" s="69" t="s">
        <v>45</v>
      </c>
      <c r="E17" s="70"/>
      <c r="F17" s="29" t="str">
        <f t="shared" ref="F17:F33" si="0">H18</f>
        <v/>
      </c>
      <c r="G17" s="30" t="str">
        <f t="shared" ref="G17:G33" si="1">I18</f>
        <v/>
      </c>
      <c r="H17" s="12" t="str">
        <f>IF(($C$13&gt;5)*($C$13&lt;9.6)*($D$13&gt;=480)*($D$13&lt;=529),"ST01AL02A","")</f>
        <v/>
      </c>
      <c r="I17" s="17" t="str">
        <f>IF(($C$13&gt;5)*($C$13&lt;9.6)*($D$13&gt;=480)*($D$13&lt;=529),"ST01AL02B","")</f>
        <v/>
      </c>
    </row>
    <row r="18" spans="1:11">
      <c r="A18" s="74"/>
      <c r="B18" s="28" t="s">
        <v>48</v>
      </c>
      <c r="C18" s="9" t="s">
        <v>49</v>
      </c>
      <c r="D18" s="69" t="s">
        <v>50</v>
      </c>
      <c r="E18" s="70"/>
      <c r="F18" s="29" t="str">
        <f t="shared" si="0"/>
        <v/>
      </c>
      <c r="G18" s="30" t="str">
        <f t="shared" si="1"/>
        <v/>
      </c>
      <c r="H18" s="12" t="str">
        <f>IF(($C$13&gt;=9.6)*($C$13&lt;16)*($D$13&gt;=480)*($D$13&lt;=529),"ST01AM02A","")</f>
        <v/>
      </c>
      <c r="I18" s="17" t="str">
        <f>IF(($C$13&gt;=9.6)*($C$13&lt;16)*($D$13&gt;=480)*($D$13&lt;=529),"ST01AM02B","")</f>
        <v/>
      </c>
    </row>
    <row r="19" spans="1:11">
      <c r="A19" s="74"/>
      <c r="B19" s="28" t="s">
        <v>51</v>
      </c>
      <c r="C19" s="9" t="s">
        <v>52</v>
      </c>
      <c r="D19" s="69" t="s">
        <v>50</v>
      </c>
      <c r="E19" s="70"/>
      <c r="F19" s="29" t="str">
        <f t="shared" si="0"/>
        <v/>
      </c>
      <c r="G19" s="30" t="str">
        <f t="shared" si="1"/>
        <v/>
      </c>
      <c r="H19" s="12" t="str">
        <f>IF(($C$13&gt;4.5)*($C$13&lt;8.7)*($D$13&gt;=530)*($D$13&lt;=589),"ST02AL02A","")</f>
        <v/>
      </c>
      <c r="I19" s="17" t="str">
        <f>IF(($C$13&gt;4.5)*($C$13&lt;8.7)*($D$13&gt;=530)*($D$13&lt;=589),"ST02AL02B","")</f>
        <v/>
      </c>
      <c r="J19" s="22"/>
      <c r="K19" s="22"/>
    </row>
    <row r="20" spans="1:11">
      <c r="A20" s="74"/>
      <c r="B20" s="28" t="s">
        <v>53</v>
      </c>
      <c r="C20" s="9" t="s">
        <v>54</v>
      </c>
      <c r="D20" s="69" t="s">
        <v>55</v>
      </c>
      <c r="E20" s="70"/>
      <c r="F20" s="29" t="str">
        <f t="shared" si="0"/>
        <v/>
      </c>
      <c r="G20" s="30" t="str">
        <f t="shared" si="1"/>
        <v/>
      </c>
      <c r="H20" s="12" t="str">
        <f>IF(($C$13&gt;=8.7)*($C$13&lt;14.4)*($D$13&gt;=530)*($D$13&lt;=589),"ST02AM02A","")</f>
        <v/>
      </c>
      <c r="I20" s="17" t="str">
        <f>IF(($C$13&gt;=8.7)*($C$13&lt;14.4)*($D$13&gt;=530)*($D$13&lt;=589),"ST02AM02B","")</f>
        <v/>
      </c>
      <c r="J20" s="22"/>
      <c r="K20" s="22"/>
    </row>
    <row r="21" spans="1:11">
      <c r="A21" s="74"/>
      <c r="B21" s="28" t="s">
        <v>56</v>
      </c>
      <c r="C21" s="9" t="s">
        <v>57</v>
      </c>
      <c r="D21" s="69" t="s">
        <v>55</v>
      </c>
      <c r="E21" s="70"/>
      <c r="F21" s="29" t="str">
        <f t="shared" si="0"/>
        <v/>
      </c>
      <c r="G21" s="30" t="str">
        <f t="shared" si="1"/>
        <v/>
      </c>
      <c r="H21" s="12" t="str">
        <f>IF(($C$13&gt;4.1)*($C$13&lt;7.8)*($D$13&gt;=590)*($D$13&lt;=649),"ST03AL02A","")</f>
        <v/>
      </c>
      <c r="I21" s="17" t="str">
        <f>IF(($C$13&gt;4.1)*($C$13&lt;7.8)*($D$13&gt;=590)*($D$13&lt;=649),"ST03AL02B","")</f>
        <v/>
      </c>
      <c r="J21" s="22"/>
      <c r="K21" s="22"/>
    </row>
    <row r="22" spans="1:11">
      <c r="A22" s="74"/>
      <c r="B22" s="28" t="s">
        <v>58</v>
      </c>
      <c r="C22" s="9" t="s">
        <v>59</v>
      </c>
      <c r="D22" s="69" t="s">
        <v>60</v>
      </c>
      <c r="E22" s="70"/>
      <c r="F22" s="29" t="str">
        <f t="shared" si="0"/>
        <v/>
      </c>
      <c r="G22" s="30" t="str">
        <f t="shared" si="1"/>
        <v/>
      </c>
      <c r="H22" s="12" t="str">
        <f>IF(($C$13&gt;=7.8)*($C$13&lt;13)*($D$13&gt;=590)*($D$13&lt;=649),"ST03AM02A","")</f>
        <v/>
      </c>
      <c r="I22" s="17" t="str">
        <f>IF(($C$13&gt;=7.8)*($C$13&lt;13)*($D$13&gt;=590)*($D$13&lt;=649),"ST03AM02B","")</f>
        <v/>
      </c>
      <c r="J22" s="22"/>
      <c r="K22" s="22"/>
    </row>
    <row r="23" spans="1:11">
      <c r="A23" s="74"/>
      <c r="B23" s="28" t="s">
        <v>61</v>
      </c>
      <c r="C23" s="9" t="s">
        <v>62</v>
      </c>
      <c r="D23" s="69" t="s">
        <v>60</v>
      </c>
      <c r="E23" s="70"/>
      <c r="F23" s="29" t="str">
        <f t="shared" si="0"/>
        <v/>
      </c>
      <c r="G23" s="30" t="str">
        <f t="shared" si="1"/>
        <v/>
      </c>
      <c r="H23" s="12" t="str">
        <f>IF(($C$13&gt;3.7)*($C$13&lt;7)*($D$13&gt;=650)*($D$13&lt;=729),"ST04AL02A","")</f>
        <v/>
      </c>
      <c r="I23" s="17" t="str">
        <f>IF(($C$13&gt;3.7)*($C$13&lt;7)*($D$13&gt;=650)*($D$13&lt;=729),"ST04AL02B","")</f>
        <v/>
      </c>
      <c r="J23" s="22"/>
      <c r="K23" s="22"/>
    </row>
    <row r="24" spans="1:11">
      <c r="A24" s="74"/>
      <c r="B24" s="31" t="s">
        <v>63</v>
      </c>
      <c r="C24" s="9" t="s">
        <v>64</v>
      </c>
      <c r="D24" s="69" t="s">
        <v>60</v>
      </c>
      <c r="E24" s="70"/>
      <c r="F24" s="29" t="str">
        <f t="shared" si="0"/>
        <v>ST04AH02A</v>
      </c>
      <c r="G24" s="30" t="str">
        <f t="shared" si="1"/>
        <v>ST04AH02B</v>
      </c>
      <c r="H24" s="12" t="str">
        <f>IF(($C$13&gt;=7)*($C$13&lt;11.5)*($D$13&gt;=650)*($D$13&lt;=729),"ST04AM02A","")</f>
        <v/>
      </c>
      <c r="I24" s="17" t="str">
        <f>IF(($C$13&gt;=7)*($C$13&lt;11.5)*($D$13&gt;=650)*($D$13&lt;=729),"ST04AM02B","")</f>
        <v/>
      </c>
      <c r="J24" s="22"/>
      <c r="K24" s="22"/>
    </row>
    <row r="25" spans="1:11">
      <c r="A25" s="122"/>
      <c r="B25" s="28" t="s">
        <v>65</v>
      </c>
      <c r="C25" s="9" t="s">
        <v>66</v>
      </c>
      <c r="D25" s="69" t="s">
        <v>67</v>
      </c>
      <c r="E25" s="70"/>
      <c r="F25" s="29" t="str">
        <f t="shared" si="0"/>
        <v/>
      </c>
      <c r="G25" s="30" t="str">
        <f t="shared" si="1"/>
        <v/>
      </c>
      <c r="H25" s="12" t="str">
        <f>IF(($C$13&gt;=11.5)*($C$13&lt;19.8)*($D$13&gt;=650)*($D$13&lt;=729),"ST04AH02A","")</f>
        <v>ST04AH02A</v>
      </c>
      <c r="I25" s="17" t="str">
        <f>IF(($C$13&gt;=11.5)*($C$13&lt;19.8)*($D$13&gt;=650)*($D$13&lt;=729),"ST04AH02B","")</f>
        <v>ST04AH02B</v>
      </c>
      <c r="J25" s="22"/>
      <c r="K25" s="22"/>
    </row>
    <row r="26" spans="1:11">
      <c r="A26" s="74"/>
      <c r="B26" s="28" t="s">
        <v>68</v>
      </c>
      <c r="C26" s="9" t="s">
        <v>69</v>
      </c>
      <c r="D26" s="69" t="s">
        <v>67</v>
      </c>
      <c r="E26" s="70"/>
      <c r="F26" s="29" t="str">
        <f t="shared" si="0"/>
        <v/>
      </c>
      <c r="G26" s="30" t="str">
        <f t="shared" si="1"/>
        <v/>
      </c>
      <c r="H26" s="12" t="str">
        <f>IF(($C$13&gt;3.2)*($C$13&lt;6.3)*($D$13&gt;=730)*($D$13&lt;=799),"ST05AL02A","")</f>
        <v/>
      </c>
      <c r="I26" s="17" t="str">
        <f>IF(($C$13&gt;3.2)*($C$13&lt;6.3)*($D$13&gt;=730)*($D$13&lt;=799),"ST05AL02B","")</f>
        <v/>
      </c>
      <c r="J26" s="22"/>
      <c r="K26" s="22"/>
    </row>
    <row r="27" spans="1:11">
      <c r="A27" s="74"/>
      <c r="B27" s="31" t="s">
        <v>70</v>
      </c>
      <c r="C27" s="9" t="s">
        <v>71</v>
      </c>
      <c r="D27" s="69" t="s">
        <v>67</v>
      </c>
      <c r="E27" s="70"/>
      <c r="F27" s="29" t="str">
        <f t="shared" si="0"/>
        <v/>
      </c>
      <c r="G27" s="30" t="str">
        <f t="shared" si="1"/>
        <v/>
      </c>
      <c r="H27" s="12" t="str">
        <f>IF(($C$13&gt;=6.3)*($C$13&lt;10.5)*($D$13&gt;=730)*($D$13&lt;=799),"ST05AM02A","")</f>
        <v/>
      </c>
      <c r="I27" s="17" t="str">
        <f>IF(($C$13&gt;=6.3)*($C$13&lt;10.5)*($D$13&gt;=730)*($D$13&lt;=799),"ST05AM02B","")</f>
        <v/>
      </c>
    </row>
    <row r="28" spans="1:11">
      <c r="A28" s="74"/>
      <c r="B28" s="28" t="s">
        <v>72</v>
      </c>
      <c r="C28" s="9" t="s">
        <v>73</v>
      </c>
      <c r="D28" s="69" t="s">
        <v>74</v>
      </c>
      <c r="E28" s="70"/>
      <c r="F28" s="29" t="str">
        <f t="shared" si="0"/>
        <v/>
      </c>
      <c r="G28" s="30" t="str">
        <f t="shared" si="1"/>
        <v/>
      </c>
      <c r="H28" s="12" t="str">
        <f>IF(($C$13&gt;=10.5)*($C$13&lt;18.1)*($D$13&gt;=730)*($D$13&lt;=799),"ST05AH02A","")</f>
        <v/>
      </c>
      <c r="I28" s="17" t="str">
        <f>IF(($C$13&gt;=10.5)*($C$13&lt;18.1)*($D$13&gt;=730)*($D$13&lt;=799),"ST05AH02B","")</f>
        <v/>
      </c>
    </row>
    <row r="29" spans="1:11">
      <c r="A29" s="74"/>
      <c r="B29" s="31" t="s">
        <v>75</v>
      </c>
      <c r="C29" s="9" t="s">
        <v>76</v>
      </c>
      <c r="D29" s="69" t="s">
        <v>74</v>
      </c>
      <c r="E29" s="70"/>
      <c r="F29" s="29" t="str">
        <f t="shared" si="0"/>
        <v/>
      </c>
      <c r="G29" s="30" t="str">
        <f t="shared" si="1"/>
        <v/>
      </c>
      <c r="H29" s="12" t="str">
        <f>IF(($C$13&gt;5.8)*($C$13&lt;9.5)*($D$13&gt;=800)*($D$13&lt;=879),"ST06AM02A","")</f>
        <v/>
      </c>
      <c r="I29" s="17" t="str">
        <f>IF(($C$13&gt;5.8)*($C$13&lt;9.5)*($D$13&gt;=800)*($D$13&lt;=879),"ST06AM02B","")</f>
        <v/>
      </c>
    </row>
    <row r="30" spans="1:11">
      <c r="A30" s="74"/>
      <c r="B30" s="28" t="s">
        <v>77</v>
      </c>
      <c r="C30" s="9" t="s">
        <v>78</v>
      </c>
      <c r="D30" s="69" t="s">
        <v>79</v>
      </c>
      <c r="E30" s="70"/>
      <c r="F30" s="29" t="str">
        <f t="shared" si="0"/>
        <v/>
      </c>
      <c r="G30" s="30" t="str">
        <f t="shared" si="1"/>
        <v/>
      </c>
      <c r="H30" s="12" t="str">
        <f>IF(($C$13&gt;=9.5)*($C$13&lt;16.5)*($D$13&gt;=800)*($D$13&lt;=879),"ST06AH02A","")</f>
        <v/>
      </c>
      <c r="I30" s="17" t="str">
        <f>IF(($C$13&gt;=9.5)*($C$13&lt;16.5)*($D$13&gt;=800)*($D$13&lt;=879),"ST06AH02B","")</f>
        <v/>
      </c>
    </row>
    <row r="31" spans="1:11">
      <c r="A31" s="74"/>
      <c r="B31" s="31" t="s">
        <v>80</v>
      </c>
      <c r="C31" s="9" t="s">
        <v>81</v>
      </c>
      <c r="D31" s="69" t="s">
        <v>79</v>
      </c>
      <c r="E31" s="70"/>
      <c r="F31" s="29" t="str">
        <f t="shared" si="0"/>
        <v/>
      </c>
      <c r="G31" s="30" t="str">
        <f t="shared" si="1"/>
        <v/>
      </c>
      <c r="H31" s="12" t="str">
        <f>IF(($C$13&gt;5.2)*($C$13&lt;8.7)*($D$13&gt;=880)*($D$13&lt;=959),"ST07AM02A","")</f>
        <v/>
      </c>
      <c r="I31" s="17" t="str">
        <f>IF(($C$13&gt;5.2)*($C$13&lt;8.7)*($D$13&gt;=880)*($D$13&lt;=959),"ST07AM02B","")</f>
        <v/>
      </c>
    </row>
    <row r="32" spans="1:11">
      <c r="A32" s="74"/>
      <c r="B32" s="31" t="s">
        <v>82</v>
      </c>
      <c r="C32" s="9" t="s">
        <v>83</v>
      </c>
      <c r="D32" s="69" t="s">
        <v>84</v>
      </c>
      <c r="E32" s="70"/>
      <c r="F32" s="29" t="str">
        <f t="shared" si="0"/>
        <v/>
      </c>
      <c r="G32" s="30" t="str">
        <f t="shared" si="1"/>
        <v/>
      </c>
      <c r="H32" s="12" t="str">
        <f>IF(($C$13&gt;=8.7)*($C$13&lt;15.1)*($D$13&gt;=880)*($D$13&lt;=959),"ST07AH02A","")</f>
        <v/>
      </c>
      <c r="I32" s="17" t="str">
        <f>IF(($C$13&gt;=8.7)*($C$13&lt;15.1)*($D$13&gt;=880)*($D$13&lt;=959),"ST07AH02B","")</f>
        <v/>
      </c>
    </row>
    <row r="33" spans="1:9">
      <c r="A33" s="74"/>
      <c r="B33" s="31" t="s">
        <v>85</v>
      </c>
      <c r="C33" s="9" t="s">
        <v>86</v>
      </c>
      <c r="D33" s="69" t="s">
        <v>84</v>
      </c>
      <c r="E33" s="70"/>
      <c r="F33" s="32" t="str">
        <f t="shared" si="0"/>
        <v/>
      </c>
      <c r="G33" s="33" t="str">
        <f t="shared" si="1"/>
        <v/>
      </c>
      <c r="H33" s="12" t="str">
        <f>IF(($C$13&gt;4.8)*($C$13&lt;8)*($D$13&gt;=960)*($D$13&lt;=1040),"ST08AM02A","")</f>
        <v/>
      </c>
      <c r="I33" s="17" t="str">
        <f>IF(($C$13&gt;4.8)*($C$13&lt;8)*($D$13&gt;=960)*($D$13&lt;=1040),"ST08AM02B","")</f>
        <v/>
      </c>
    </row>
    <row r="34" spans="1:9">
      <c r="A34" s="63" t="s">
        <v>137</v>
      </c>
      <c r="B34" s="64"/>
      <c r="C34" s="64"/>
      <c r="D34" s="64"/>
      <c r="E34" s="65"/>
      <c r="H34" s="12" t="str">
        <f>IF(($C$13&gt;=8)*($C$13&lt;13.9)*($D$13&gt;=960)*($D$13&lt;=1040),"ST08AH02A","")</f>
        <v/>
      </c>
      <c r="I34" s="17" t="str">
        <f>IF(($C$13&gt;=8)*($C$13&lt;13.9)*($D$13&gt;=960)*($D$13&lt;=1040),"ST08AH02B","")</f>
        <v/>
      </c>
    </row>
    <row r="35" spans="1:9">
      <c r="A35" s="66"/>
      <c r="B35" s="67"/>
      <c r="C35" s="67"/>
      <c r="D35" s="67"/>
      <c r="E35" s="68"/>
      <c r="I35" s="22"/>
    </row>
    <row r="36" spans="1:9">
      <c r="I36" s="22"/>
    </row>
    <row r="37" spans="1:9">
      <c r="I37" s="22"/>
    </row>
  </sheetData>
  <sheetProtection algorithmName="SHA-512" hashValue="eg7z/cpLzDjII36vRPIKLrta2qqR+ZOl0FeQ78hRDe/2D1hnyJP8IQF4knkr/JVCWzCzad7IXevtRH3dRP3/4A==" saltValue="204Ta8laaYeIHGPW8B0H0w==" spinCount="100000" sheet="1" objects="1" scenarios="1"/>
  <mergeCells count="33">
    <mergeCell ref="I1:J1"/>
    <mergeCell ref="B8:E8"/>
    <mergeCell ref="B11:E11"/>
    <mergeCell ref="D12:E12"/>
    <mergeCell ref="D13:E13"/>
    <mergeCell ref="B14:E14"/>
    <mergeCell ref="F14:G14"/>
    <mergeCell ref="D15:E15"/>
    <mergeCell ref="D16:E16"/>
    <mergeCell ref="D17:E17"/>
    <mergeCell ref="D26:E26"/>
    <mergeCell ref="D27:E27"/>
    <mergeCell ref="D18:E18"/>
    <mergeCell ref="D19:E19"/>
    <mergeCell ref="D20:E20"/>
    <mergeCell ref="D21:E21"/>
    <mergeCell ref="D22:E22"/>
    <mergeCell ref="A34:E35"/>
    <mergeCell ref="A1:E7"/>
    <mergeCell ref="D33:E33"/>
    <mergeCell ref="A8:A10"/>
    <mergeCell ref="A11:A13"/>
    <mergeCell ref="A14:A33"/>
    <mergeCell ref="B12:B13"/>
    <mergeCell ref="D9:D10"/>
    <mergeCell ref="D28:E28"/>
    <mergeCell ref="D29:E29"/>
    <mergeCell ref="D30:E30"/>
    <mergeCell ref="D31:E31"/>
    <mergeCell ref="D32:E32"/>
    <mergeCell ref="D23:E23"/>
    <mergeCell ref="D24:E24"/>
    <mergeCell ref="D25:E25"/>
  </mergeCells>
  <hyperlinks>
    <hyperlink ref="A34" r:id="rId1" xr:uid="{00000000-0004-0000-0400-000000000000}"/>
  </hyperlinks>
  <pageMargins left="0.25" right="0.25" top="0.75" bottom="0.75" header="0.3" footer="0.3"/>
  <pageSetup paperSize="9" orientation="portrait"/>
  <drawing r:id="rId2"/>
  <legacyDrawing r:id="rId3"/>
  <oleObjects>
    <mc:AlternateContent xmlns:mc="http://schemas.openxmlformats.org/markup-compatibility/2006">
      <mc:Choice Requires="x14">
        <oleObject progId="CorelDraw.Graphic.18" shapeId="6146" r:id="rId4">
          <objectPr defaultSize="0" r:id="rId5">
            <anchor moveWithCells="1">
              <from>
                <xdr:col>0</xdr:col>
                <xdr:colOff>152400</xdr:colOff>
                <xdr:row>0</xdr:row>
                <xdr:rowOff>158750</xdr:rowOff>
              </from>
              <to>
                <xdr:col>1</xdr:col>
                <xdr:colOff>1638300</xdr:colOff>
                <xdr:row>2</xdr:row>
                <xdr:rowOff>25400</xdr:rowOff>
              </to>
            </anchor>
          </objectPr>
        </oleObject>
      </mc:Choice>
      <mc:Fallback>
        <oleObject progId="CorelDraw.Graphic.18" shapeId="6146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Drop Down 1">
              <controlPr defaultSize="0" autoPict="0">
                <anchor>
                  <from>
                    <xdr:col>1</xdr:col>
                    <xdr:colOff>82550</xdr:colOff>
                    <xdr:row>11</xdr:row>
                    <xdr:rowOff>0</xdr:rowOff>
                  </from>
                  <to>
                    <xdr:col>1</xdr:col>
                    <xdr:colOff>2266950</xdr:colOff>
                    <xdr:row>12</xdr:row>
                    <xdr:rowOff>311150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"/>
  <sheetViews>
    <sheetView tabSelected="1" topLeftCell="A10" zoomScale="55" zoomScaleNormal="55" workbookViewId="0">
      <selection activeCell="N4" sqref="N4"/>
    </sheetView>
  </sheetViews>
  <sheetFormatPr defaultColWidth="9.1796875" defaultRowHeight="14.5"/>
  <cols>
    <col min="1" max="1" width="4.54296875" customWidth="1"/>
    <col min="2" max="2" width="37.6328125" customWidth="1"/>
    <col min="3" max="3" width="25.7265625" customWidth="1"/>
    <col min="4" max="4" width="7.6328125" customWidth="1"/>
    <col min="5" max="5" width="21.36328125" customWidth="1"/>
    <col min="6" max="7" width="25.7265625" customWidth="1"/>
    <col min="8" max="8" width="13" customWidth="1"/>
    <col min="9" max="9" width="22.7265625" hidden="1" customWidth="1"/>
    <col min="10" max="10" width="13.81640625" hidden="1" customWidth="1"/>
    <col min="11" max="11" width="19.08984375" hidden="1" customWidth="1"/>
    <col min="12" max="12" width="16.81640625" hidden="1" customWidth="1"/>
    <col min="13" max="14" width="13.81640625" customWidth="1"/>
    <col min="15" max="16" width="8.6328125" customWidth="1"/>
  </cols>
  <sheetData>
    <row r="1" spans="1:12" ht="20.149999999999999" customHeight="1">
      <c r="A1" s="108" t="s">
        <v>87</v>
      </c>
      <c r="B1" s="55"/>
      <c r="C1" s="55"/>
      <c r="D1" s="55"/>
      <c r="E1" s="55"/>
      <c r="F1" s="55"/>
      <c r="G1" s="56"/>
      <c r="J1" s="102" t="s">
        <v>88</v>
      </c>
      <c r="K1" s="102"/>
      <c r="L1" s="18">
        <v>4</v>
      </c>
    </row>
    <row r="2" spans="1:12" ht="20.149999999999999" customHeight="1">
      <c r="A2" s="57"/>
      <c r="B2" s="58"/>
      <c r="C2" s="58"/>
      <c r="D2" s="58"/>
      <c r="E2" s="58"/>
      <c r="F2" s="58"/>
      <c r="G2" s="59"/>
    </row>
    <row r="3" spans="1:12" ht="20.149999999999999" customHeight="1">
      <c r="A3" s="57"/>
      <c r="B3" s="58"/>
      <c r="C3" s="58"/>
      <c r="D3" s="58"/>
      <c r="E3" s="58"/>
      <c r="F3" s="58"/>
      <c r="G3" s="59"/>
    </row>
    <row r="4" spans="1:12" ht="20.149999999999999" customHeight="1">
      <c r="A4" s="57"/>
      <c r="B4" s="58"/>
      <c r="C4" s="58"/>
      <c r="D4" s="58"/>
      <c r="E4" s="58"/>
      <c r="F4" s="58"/>
      <c r="G4" s="59"/>
    </row>
    <row r="5" spans="1:12" ht="20.149999999999999" customHeight="1">
      <c r="A5" s="57"/>
      <c r="B5" s="58"/>
      <c r="C5" s="58"/>
      <c r="D5" s="58"/>
      <c r="E5" s="58"/>
      <c r="F5" s="58"/>
      <c r="G5" s="59"/>
    </row>
    <row r="6" spans="1:12" ht="20.149999999999999" customHeight="1">
      <c r="A6" s="57"/>
      <c r="B6" s="58"/>
      <c r="C6" s="58"/>
      <c r="D6" s="58"/>
      <c r="E6" s="58"/>
      <c r="F6" s="58"/>
      <c r="G6" s="59"/>
    </row>
    <row r="7" spans="1:12" ht="20.149999999999999" customHeight="1">
      <c r="A7" s="57"/>
      <c r="B7" s="58"/>
      <c r="C7" s="58"/>
      <c r="D7" s="58"/>
      <c r="E7" s="58"/>
      <c r="F7" s="58"/>
      <c r="G7" s="59"/>
      <c r="I7" s="19" t="s">
        <v>2</v>
      </c>
      <c r="J7" s="19" t="s">
        <v>3</v>
      </c>
      <c r="K7" s="19" t="s">
        <v>4</v>
      </c>
      <c r="L7" s="19" t="s">
        <v>5</v>
      </c>
    </row>
    <row r="8" spans="1:12" ht="30" customHeight="1">
      <c r="A8" s="137">
        <v>1</v>
      </c>
      <c r="B8" s="164" t="s">
        <v>138</v>
      </c>
      <c r="C8" s="164"/>
      <c r="D8" s="164"/>
      <c r="E8" s="164"/>
      <c r="F8" s="164"/>
      <c r="G8" s="165"/>
      <c r="I8" s="19" t="s">
        <v>118</v>
      </c>
      <c r="J8" s="20">
        <v>10.9</v>
      </c>
      <c r="K8" s="20">
        <f>B10*C10/1000000*J8+E10/1000</f>
        <v>2.5024999999999999</v>
      </c>
      <c r="L8" s="18" t="s">
        <v>6</v>
      </c>
    </row>
    <row r="9" spans="1:12" ht="20.149999999999999" customHeight="1">
      <c r="A9" s="138"/>
      <c r="B9" s="178" t="s">
        <v>155</v>
      </c>
      <c r="C9" s="178" t="s">
        <v>154</v>
      </c>
      <c r="D9" s="159" t="s">
        <v>7</v>
      </c>
      <c r="E9" s="179" t="s">
        <v>117</v>
      </c>
      <c r="F9" s="133"/>
      <c r="G9" s="134"/>
      <c r="I9" s="19" t="s">
        <v>119</v>
      </c>
      <c r="J9" s="20">
        <v>12.2</v>
      </c>
      <c r="K9" s="20">
        <f>B10*C10/1000000*J9+E10/1000</f>
        <v>2.7949999999999999</v>
      </c>
      <c r="L9" s="20">
        <f>IF(L1=2,K9,L10)</f>
        <v>3.3125</v>
      </c>
    </row>
    <row r="10" spans="1:12" ht="30" customHeight="1">
      <c r="A10" s="139"/>
      <c r="B10" s="2">
        <v>450</v>
      </c>
      <c r="C10" s="2">
        <v>500</v>
      </c>
      <c r="D10" s="160"/>
      <c r="E10" s="2">
        <v>50</v>
      </c>
      <c r="F10" s="135"/>
      <c r="G10" s="136"/>
      <c r="I10" s="19" t="s">
        <v>120</v>
      </c>
      <c r="J10" s="20">
        <v>12.1</v>
      </c>
      <c r="K10" s="20">
        <f>B10*C10/1000000*J10+E10/1000</f>
        <v>2.7725</v>
      </c>
      <c r="L10" s="20">
        <f>IF(L1=3,K10,L11)</f>
        <v>3.3125</v>
      </c>
    </row>
    <row r="11" spans="1:12" ht="40" customHeight="1">
      <c r="A11" s="137">
        <v>2</v>
      </c>
      <c r="B11" s="156" t="s">
        <v>139</v>
      </c>
      <c r="C11" s="156"/>
      <c r="D11" s="156"/>
      <c r="E11" s="156"/>
      <c r="F11" s="156"/>
      <c r="G11" s="157"/>
      <c r="I11" s="19" t="s">
        <v>121</v>
      </c>
      <c r="J11" s="20">
        <v>14.5</v>
      </c>
      <c r="K11" s="20">
        <f>B10*C10/1000000*J11+E10/1000</f>
        <v>3.3125</v>
      </c>
      <c r="L11" s="20">
        <f>IF(L1=4,K11,L12)</f>
        <v>3.3125</v>
      </c>
    </row>
    <row r="12" spans="1:12" ht="20.149999999999999" customHeight="1">
      <c r="A12" s="138"/>
      <c r="B12" s="140"/>
      <c r="C12" s="1" t="s">
        <v>141</v>
      </c>
      <c r="D12" s="129" t="s">
        <v>142</v>
      </c>
      <c r="E12" s="129"/>
      <c r="F12" s="129"/>
      <c r="G12" s="130"/>
      <c r="I12" s="19" t="s">
        <v>122</v>
      </c>
      <c r="J12" s="20">
        <v>16.5</v>
      </c>
      <c r="K12" s="20">
        <f>B10*C10/1000000*J12+E10/1000</f>
        <v>3.7625000000000002</v>
      </c>
      <c r="L12" s="20">
        <f>IF(L1=5,K12,L13)</f>
        <v>0</v>
      </c>
    </row>
    <row r="13" spans="1:12" ht="20.149999999999999" customHeight="1">
      <c r="A13" s="139"/>
      <c r="B13" s="141"/>
      <c r="C13" s="3">
        <f>IF(L1=1,K8,L9)</f>
        <v>3.3125</v>
      </c>
      <c r="D13" s="158">
        <f>B10</f>
        <v>450</v>
      </c>
      <c r="E13" s="158"/>
      <c r="F13" s="131"/>
      <c r="G13" s="132"/>
      <c r="I13" s="19" t="s">
        <v>123</v>
      </c>
      <c r="J13" s="20">
        <v>11</v>
      </c>
      <c r="K13" s="20">
        <f>B10*C10/1000000*J13+E10/1000</f>
        <v>2.5249999999999999</v>
      </c>
      <c r="L13" s="20">
        <f>IF(L1=6,K13,L14)</f>
        <v>0</v>
      </c>
    </row>
    <row r="14" spans="1:12" ht="60" customHeight="1">
      <c r="A14" s="76">
        <v>3</v>
      </c>
      <c r="B14" s="180" t="s">
        <v>156</v>
      </c>
      <c r="C14" s="151"/>
      <c r="D14" s="151"/>
      <c r="E14" s="151"/>
      <c r="F14" s="151"/>
      <c r="G14" s="152"/>
      <c r="H14" s="4"/>
      <c r="I14" s="19" t="s">
        <v>124</v>
      </c>
      <c r="J14" s="20">
        <v>12</v>
      </c>
      <c r="K14" s="20">
        <f>B10*C10/1000000*J14+E10/1000</f>
        <v>2.75</v>
      </c>
      <c r="L14" s="20">
        <f>IF(L1=7,K14,L15)</f>
        <v>0</v>
      </c>
    </row>
    <row r="15" spans="1:12" ht="33" customHeight="1">
      <c r="A15" s="77"/>
      <c r="B15" s="1" t="s">
        <v>134</v>
      </c>
      <c r="C15" s="1" t="s">
        <v>141</v>
      </c>
      <c r="D15" s="129" t="s">
        <v>142</v>
      </c>
      <c r="E15" s="129"/>
      <c r="F15" s="5" t="s">
        <v>157</v>
      </c>
      <c r="G15" s="6" t="s">
        <v>158</v>
      </c>
      <c r="H15" s="7"/>
      <c r="I15" s="19" t="s">
        <v>125</v>
      </c>
      <c r="J15" s="20">
        <v>15</v>
      </c>
      <c r="K15" s="20">
        <f>B10*C10/1000000*J15+E10/1000</f>
        <v>3.4249999999999998</v>
      </c>
      <c r="L15" s="20">
        <f>IF(L1=8,K15,L16)</f>
        <v>0</v>
      </c>
    </row>
    <row r="16" spans="1:12" ht="15" customHeight="1">
      <c r="A16" s="77"/>
      <c r="B16" s="8" t="s">
        <v>89</v>
      </c>
      <c r="C16" s="9" t="s">
        <v>90</v>
      </c>
      <c r="D16" s="69" t="s">
        <v>91</v>
      </c>
      <c r="E16" s="69"/>
      <c r="F16" s="10" t="str">
        <f t="shared" ref="F16:G31" si="0">I18</f>
        <v/>
      </c>
      <c r="G16" s="11" t="str">
        <f t="shared" si="0"/>
        <v/>
      </c>
      <c r="H16" s="12"/>
      <c r="I16" s="19" t="s">
        <v>126</v>
      </c>
      <c r="J16" s="20">
        <v>11.2</v>
      </c>
      <c r="K16" s="20">
        <f>B10*C10/1000000*J16+E10/1000</f>
        <v>2.57</v>
      </c>
      <c r="L16" s="20">
        <f>IF(L1=9,K16,L18)</f>
        <v>0</v>
      </c>
    </row>
    <row r="17" spans="1:12" ht="15" customHeight="1">
      <c r="A17" s="77"/>
      <c r="B17" s="8" t="s">
        <v>89</v>
      </c>
      <c r="C17" s="9" t="s">
        <v>92</v>
      </c>
      <c r="D17" s="69" t="s">
        <v>93</v>
      </c>
      <c r="E17" s="69"/>
      <c r="F17" s="10" t="str">
        <f t="shared" si="0"/>
        <v/>
      </c>
      <c r="G17" s="11" t="str">
        <f t="shared" si="0"/>
        <v/>
      </c>
      <c r="H17" s="12"/>
      <c r="J17" s="21"/>
      <c r="K17" s="21"/>
      <c r="L17" s="21"/>
    </row>
    <row r="18" spans="1:12" ht="15" customHeight="1">
      <c r="A18" s="77"/>
      <c r="B18" s="8" t="s">
        <v>94</v>
      </c>
      <c r="C18" s="9" t="s">
        <v>95</v>
      </c>
      <c r="D18" s="69" t="s">
        <v>91</v>
      </c>
      <c r="E18" s="69"/>
      <c r="F18" s="10" t="str">
        <f t="shared" si="0"/>
        <v/>
      </c>
      <c r="G18" s="11" t="str">
        <f t="shared" si="0"/>
        <v/>
      </c>
      <c r="H18" s="12"/>
      <c r="I18" s="12" t="str">
        <f>IF(C13&lt;1.3,"the door is too light",IF(($C$13&gt;1.3)*($C$13&lt;3.5)*($D$13&gt;=300)*($D$13&lt;=349),"SK00AD02A",""))</f>
        <v/>
      </c>
      <c r="J18" s="12" t="str">
        <f>IF(D13&lt;1.3,"фасад слишком легкий",IF(($C$13&gt;1.3)*($C$13&lt;3.5)*($D$13&gt;=300)*($D$13&lt;=349),"SK00AD02B",""))</f>
        <v/>
      </c>
    </row>
    <row r="19" spans="1:12" ht="15" customHeight="1">
      <c r="A19" s="77"/>
      <c r="B19" s="8" t="s">
        <v>94</v>
      </c>
      <c r="C19" s="9" t="s">
        <v>96</v>
      </c>
      <c r="D19" s="69" t="s">
        <v>93</v>
      </c>
      <c r="E19" s="69"/>
      <c r="F19" s="10" t="str">
        <f t="shared" si="0"/>
        <v/>
      </c>
      <c r="G19" s="11" t="str">
        <f t="shared" si="0"/>
        <v/>
      </c>
      <c r="H19" s="12"/>
      <c r="I19" s="12" t="str">
        <f>IF(($C$13&gt;1.5)*($C$13&lt;2.5)*($D$13&gt;=350)*($D$13&lt;=399),"SK00AD02A","")</f>
        <v/>
      </c>
      <c r="J19" s="12" t="str">
        <f>IF(($C$13&gt;1.5)*($C$13&lt;2.5)*($D$13&gt;=350)*($D$13&lt;=399),"SK00AD02B","")</f>
        <v/>
      </c>
    </row>
    <row r="20" spans="1:12" ht="15" customHeight="1">
      <c r="A20" s="77"/>
      <c r="B20" s="8" t="s">
        <v>94</v>
      </c>
      <c r="C20" s="9" t="s">
        <v>97</v>
      </c>
      <c r="D20" s="69" t="s">
        <v>98</v>
      </c>
      <c r="E20" s="69"/>
      <c r="F20" s="10" t="str">
        <f>I22</f>
        <v/>
      </c>
      <c r="G20" s="11" t="str">
        <f t="shared" si="0"/>
        <v/>
      </c>
      <c r="H20" s="12"/>
      <c r="I20" s="12" t="str">
        <f>IF(($C$13&gt;3.5)*($C$13&lt;6.5)*($D$13&gt;=300)*($D$13&lt;=349),"SK00AL02A","")</f>
        <v/>
      </c>
      <c r="J20" s="12" t="str">
        <f>IF(($C$13&gt;3.5)*($C$13&lt;6.5)*($D$13&gt;=300)*($D$13&lt;=349),"SK00AL02B","")</f>
        <v/>
      </c>
    </row>
    <row r="21" spans="1:12" ht="15" customHeight="1">
      <c r="A21" s="77"/>
      <c r="B21" s="8" t="s">
        <v>99</v>
      </c>
      <c r="C21" s="9" t="s">
        <v>100</v>
      </c>
      <c r="D21" s="69" t="s">
        <v>91</v>
      </c>
      <c r="E21" s="69"/>
      <c r="F21" s="10" t="str">
        <f>I23</f>
        <v/>
      </c>
      <c r="G21" s="11" t="str">
        <f t="shared" si="0"/>
        <v/>
      </c>
      <c r="H21" s="12"/>
      <c r="I21" s="12" t="str">
        <f>IF(($C$13&gt;2.5)*($C$13&lt;4.5)*($D$13&gt;=350)*($D$13&lt;=399),"SK00AL02A","")</f>
        <v/>
      </c>
      <c r="J21" s="12" t="str">
        <f>IF(($C$13&gt;2.5)*($C$13&lt;4.5)*($D$13&gt;=350)*($D$13&lt;=399),"SK00AL02B","")</f>
        <v/>
      </c>
    </row>
    <row r="22" spans="1:12" ht="15" customHeight="1">
      <c r="A22" s="77"/>
      <c r="B22" s="8" t="s">
        <v>99</v>
      </c>
      <c r="C22" s="9" t="s">
        <v>101</v>
      </c>
      <c r="D22" s="69" t="s">
        <v>93</v>
      </c>
      <c r="E22" s="69"/>
      <c r="F22" s="10" t="str">
        <f>I24</f>
        <v/>
      </c>
      <c r="G22" s="11" t="str">
        <f t="shared" si="0"/>
        <v/>
      </c>
      <c r="H22" s="12"/>
      <c r="I22" s="12" t="str">
        <f>IF(($C$13&gt;2)*($C$13&lt;2.8)*($D$13&gt;=400)*($D$13&lt;550),"SK00AL02A","")</f>
        <v/>
      </c>
      <c r="J22" s="12" t="str">
        <f>IF(($C$13&gt;2)*($C$13&lt;2.8)*($D$13&gt;=400)*($D$13&lt;550),"SK00AL02B","")</f>
        <v/>
      </c>
    </row>
    <row r="23" spans="1:12" ht="15" customHeight="1">
      <c r="A23" s="77"/>
      <c r="B23" s="8" t="s">
        <v>99</v>
      </c>
      <c r="C23" s="9" t="s">
        <v>102</v>
      </c>
      <c r="D23" s="69" t="s">
        <v>98</v>
      </c>
      <c r="E23" s="69"/>
      <c r="F23" s="10" t="str">
        <f>I25</f>
        <v>SK00AM02A</v>
      </c>
      <c r="G23" s="11" t="str">
        <f t="shared" si="0"/>
        <v>SK00AM02B</v>
      </c>
      <c r="H23" s="12"/>
      <c r="I23" s="12" t="str">
        <f>IF(($C$13&gt;6.5)*($C$13&lt;11)*($D$13&gt;=300)*($D$13&lt;=349),"SK00AM02A","")</f>
        <v/>
      </c>
      <c r="J23" s="12" t="str">
        <f>IF(($C$13&gt;6.5)*($C$13&lt;11)*($D$13&gt;=300)*($D$13&lt;=349),"SK00AM02B","")</f>
        <v/>
      </c>
    </row>
    <row r="24" spans="1:12" ht="15" customHeight="1">
      <c r="A24" s="77"/>
      <c r="B24" s="8" t="s">
        <v>99</v>
      </c>
      <c r="C24" s="9" t="s">
        <v>103</v>
      </c>
      <c r="D24" s="69" t="s">
        <v>104</v>
      </c>
      <c r="E24" s="69"/>
      <c r="F24" s="10" t="str">
        <f t="shared" si="0"/>
        <v/>
      </c>
      <c r="G24" s="11" t="str">
        <f t="shared" si="0"/>
        <v/>
      </c>
      <c r="H24" s="12"/>
      <c r="I24" s="12" t="str">
        <f>IF(($C$13&gt;4.5)*($C$13&lt;8)*($D$13&gt;=350)*($D$13&lt;=399),"SK00AM02A","")</f>
        <v/>
      </c>
      <c r="J24" s="12" t="str">
        <f>IF(($C$13&gt;4.5)*($C$13&lt;8)*($D$13&gt;=350)*($D$13&lt;=399),"SK00AM02B","")</f>
        <v/>
      </c>
    </row>
    <row r="25" spans="1:12" ht="15" customHeight="1">
      <c r="A25" s="77"/>
      <c r="B25" s="8" t="s">
        <v>105</v>
      </c>
      <c r="C25" s="9" t="s">
        <v>106</v>
      </c>
      <c r="D25" s="69" t="s">
        <v>91</v>
      </c>
      <c r="E25" s="69"/>
      <c r="F25" s="10" t="str">
        <f t="shared" si="0"/>
        <v/>
      </c>
      <c r="G25" s="11" t="str">
        <f t="shared" si="0"/>
        <v/>
      </c>
      <c r="H25" s="12"/>
      <c r="I25" s="12" t="str">
        <f>IF(($C$13&gt;2.8)*($C$13&lt;5.8)*($D$13&gt;=400)*($D$13&lt;550),"SK00AM02A","")</f>
        <v>SK00AM02A</v>
      </c>
      <c r="J25" s="12" t="str">
        <f>IF(($C$13&gt;2.8)*($C$13&lt;5.8)*($D$13&gt;=400)*($D$13&lt;550),"SK00AM02B","")</f>
        <v>SK00AM02B</v>
      </c>
      <c r="K25" s="22"/>
      <c r="L25" s="22"/>
    </row>
    <row r="26" spans="1:12" ht="15" customHeight="1">
      <c r="A26" s="77"/>
      <c r="B26" s="8" t="s">
        <v>105</v>
      </c>
      <c r="C26" s="9" t="s">
        <v>107</v>
      </c>
      <c r="D26" s="69" t="s">
        <v>93</v>
      </c>
      <c r="E26" s="69"/>
      <c r="F26" s="10" t="str">
        <f t="shared" si="0"/>
        <v/>
      </c>
      <c r="G26" s="11" t="str">
        <f t="shared" si="0"/>
        <v/>
      </c>
      <c r="H26" s="12"/>
      <c r="I26" s="12" t="str">
        <f>IF(($C$13&gt;2)*($C$13&lt;4.2)*($D$13&gt;=550)*($D$13&lt;=580),"SK00AM02A","")</f>
        <v/>
      </c>
      <c r="J26" s="12" t="str">
        <f>IF(($C$13&gt;2)*($C$13&lt;4.2)*($D$13&gt;=550)*($D$13&lt;=580),"SK00AM02B","")</f>
        <v/>
      </c>
      <c r="K26" s="22"/>
      <c r="L26" s="22"/>
    </row>
    <row r="27" spans="1:12" ht="15" customHeight="1">
      <c r="A27" s="77"/>
      <c r="B27" s="8" t="s">
        <v>105</v>
      </c>
      <c r="C27" s="9" t="s">
        <v>108</v>
      </c>
      <c r="D27" s="69" t="s">
        <v>98</v>
      </c>
      <c r="E27" s="69"/>
      <c r="F27" s="10" t="str">
        <f t="shared" si="0"/>
        <v/>
      </c>
      <c r="G27" s="11" t="str">
        <f t="shared" si="0"/>
        <v/>
      </c>
      <c r="H27" s="12"/>
      <c r="I27" s="12" t="str">
        <f>IF(($C$13&gt;11)*($C$13&lt;20)*($D$13&gt;=300)*($D$13&lt;=349),"SK00AH02A","")</f>
        <v/>
      </c>
      <c r="J27" s="12" t="str">
        <f>IF(($C$13&gt;11)*($C$13&lt;20)*($D$13&gt;=300)*($D$13&lt;=349),"SK00AH02B","")</f>
        <v/>
      </c>
      <c r="K27" s="22"/>
      <c r="L27" s="22"/>
    </row>
    <row r="28" spans="1:12" ht="15" customHeight="1">
      <c r="A28" s="77"/>
      <c r="B28" s="8" t="s">
        <v>105</v>
      </c>
      <c r="C28" s="9" t="s">
        <v>109</v>
      </c>
      <c r="D28" s="69" t="s">
        <v>104</v>
      </c>
      <c r="E28" s="69"/>
      <c r="F28" s="10" t="str">
        <f t="shared" si="0"/>
        <v/>
      </c>
      <c r="G28" s="11" t="str">
        <f t="shared" si="0"/>
        <v/>
      </c>
      <c r="H28" s="12"/>
      <c r="I28" s="12" t="str">
        <f>IF(($C$13&gt;8)*($C$13&lt;13.5)*($D$13&gt;=350)*($D$13&lt;=399),"SK00AH02A","")</f>
        <v/>
      </c>
      <c r="J28" s="12" t="str">
        <f>IF(($C$13&gt;8)*($C$13&lt;13.5)*($D$13&gt;=350)*($D$13&lt;=399),"SK00AH02B","")</f>
        <v/>
      </c>
      <c r="K28" s="22"/>
      <c r="L28" s="22"/>
    </row>
    <row r="29" spans="1:12" ht="15" customHeight="1">
      <c r="A29" s="77"/>
      <c r="B29" s="8" t="s">
        <v>110</v>
      </c>
      <c r="C29" s="9" t="s">
        <v>111</v>
      </c>
      <c r="D29" s="69" t="s">
        <v>93</v>
      </c>
      <c r="E29" s="69"/>
      <c r="F29" s="10" t="str">
        <f t="shared" si="0"/>
        <v/>
      </c>
      <c r="G29" s="11" t="str">
        <f t="shared" si="0"/>
        <v/>
      </c>
      <c r="H29" s="12"/>
      <c r="I29" s="12" t="str">
        <f>IF(($C$13&gt;5.8)*($C$13&lt;10.5)*($D$13&gt;=400)*($D$13&lt;550),"SK00AH02A","")</f>
        <v/>
      </c>
      <c r="J29" s="12" t="str">
        <f>IF(($C$13&gt;5.8)*($C$13&lt;10.5)*($D$13&gt;=400)*($D$13&lt;550),"SK00AH02B","")</f>
        <v/>
      </c>
      <c r="K29" s="22"/>
      <c r="L29" s="22"/>
    </row>
    <row r="30" spans="1:12" ht="15" customHeight="1">
      <c r="A30" s="77"/>
      <c r="B30" s="8" t="s">
        <v>110</v>
      </c>
      <c r="C30" s="9" t="s">
        <v>112</v>
      </c>
      <c r="D30" s="69" t="s">
        <v>98</v>
      </c>
      <c r="E30" s="69"/>
      <c r="F30" s="10" t="str">
        <f t="shared" si="0"/>
        <v/>
      </c>
      <c r="G30" s="11" t="str">
        <f t="shared" si="0"/>
        <v/>
      </c>
      <c r="H30" s="12"/>
      <c r="I30" s="12" t="str">
        <f>IF(($C$13&gt;4.2)*($C$13&lt;8.3)*($D$13&gt;=550)*($D$13&lt;=580),"SK00AH02A","")</f>
        <v/>
      </c>
      <c r="J30" s="12" t="str">
        <f>IF(($C$13&gt;4.2)*($C$13&lt;8.3)*($D$13&gt;=550)*($D$13&lt;=580),"SK00AH02B","")</f>
        <v/>
      </c>
      <c r="K30" s="22"/>
      <c r="L30" s="22"/>
    </row>
    <row r="31" spans="1:12" ht="15" customHeight="1">
      <c r="A31" s="77"/>
      <c r="B31" s="13" t="s">
        <v>110</v>
      </c>
      <c r="C31" s="14" t="s">
        <v>113</v>
      </c>
      <c r="D31" s="150" t="s">
        <v>104</v>
      </c>
      <c r="E31" s="150"/>
      <c r="F31" s="15" t="str">
        <f t="shared" si="0"/>
        <v/>
      </c>
      <c r="G31" s="16" t="str">
        <f t="shared" si="0"/>
        <v/>
      </c>
      <c r="H31" s="12"/>
      <c r="I31" s="12" t="str">
        <f>IF(($C$13&gt;13.5)*($C$13&lt;20)*($D$13&gt;=350)*($D$13&lt;=399),"SK00AC02A","")</f>
        <v/>
      </c>
      <c r="J31" s="12" t="str">
        <f>IF(($C$13&gt;13.5)*($C$13&lt;20)*($D$13&gt;=350)*($D$13&lt;=399),"SK00AC02B","")</f>
        <v/>
      </c>
      <c r="K31" s="22"/>
      <c r="L31" s="22"/>
    </row>
    <row r="32" spans="1:12" ht="40" customHeight="1">
      <c r="A32" s="76">
        <v>4</v>
      </c>
      <c r="B32" s="151" t="s">
        <v>159</v>
      </c>
      <c r="C32" s="151"/>
      <c r="D32" s="151"/>
      <c r="E32" s="151"/>
      <c r="F32" s="151"/>
      <c r="G32" s="152"/>
      <c r="H32" s="17"/>
      <c r="I32" s="12" t="str">
        <f>IF(($C$13&gt;10.5)*($C$13&lt;20)*($D$13&gt;=400)*($D$13&lt;550),"SK00AC02A","")</f>
        <v/>
      </c>
      <c r="J32" s="12" t="str">
        <f>IF(($C$13&gt;10.5)*($C$13&lt;20)*($D$13&gt;=400)*($D$13&lt;550),"SK00AC02B","")</f>
        <v/>
      </c>
      <c r="K32" s="22"/>
      <c r="L32" s="22"/>
    </row>
    <row r="33" spans="1:12" ht="20.149999999999999" customHeight="1">
      <c r="A33" s="77"/>
      <c r="B33" s="153" t="s">
        <v>160</v>
      </c>
      <c r="C33" s="154"/>
      <c r="D33" s="129" t="s">
        <v>142</v>
      </c>
      <c r="E33" s="129"/>
      <c r="F33" s="153" t="s">
        <v>161</v>
      </c>
      <c r="G33" s="155"/>
      <c r="H33" s="17"/>
      <c r="I33" s="12" t="str">
        <f>IF($C$13&gt;16.5," фасад слишком тяжелый",IF(($C$13&gt;8.3)*($C$13&lt;16.5)*($D$13&gt;=550)*($D$13&lt;=580),"SK00AC02A",""))</f>
        <v/>
      </c>
      <c r="J33" s="12" t="str">
        <f>IF($C$13&gt;16.5," фасад слишком тяжелый",IF(($C$13&gt;8.3)*($C$13&lt;16.5)*($D$13&gt;=550)*($D$13&lt;=580),"SK00AC02B",""))</f>
        <v/>
      </c>
      <c r="K33" s="22"/>
      <c r="L33" s="22"/>
    </row>
    <row r="34" spans="1:12" ht="15" customHeight="1">
      <c r="A34" s="77"/>
      <c r="B34" s="142" t="s">
        <v>162</v>
      </c>
      <c r="C34" s="143"/>
      <c r="D34" s="69" t="s">
        <v>91</v>
      </c>
      <c r="E34" s="69"/>
      <c r="F34" s="144" t="str">
        <f>I35</f>
        <v/>
      </c>
      <c r="G34" s="145"/>
      <c r="H34" s="17"/>
      <c r="I34" s="12"/>
      <c r="J34" s="17"/>
      <c r="K34" s="22"/>
      <c r="L34" s="22"/>
    </row>
    <row r="35" spans="1:12" ht="15" customHeight="1">
      <c r="A35" s="77"/>
      <c r="B35" s="142" t="s">
        <v>163</v>
      </c>
      <c r="C35" s="143"/>
      <c r="D35" s="69" t="s">
        <v>93</v>
      </c>
      <c r="E35" s="69"/>
      <c r="F35" s="144" t="str">
        <f t="shared" ref="F35:F37" si="1">I36</f>
        <v/>
      </c>
      <c r="G35" s="145"/>
      <c r="H35" s="17"/>
      <c r="I35" s="12" t="str">
        <f>IF(D13&lt;300,"фасад слишком короткий",IF(($D$13&gt;=300)*($D$13&lt;=349),"SK300A01",""))</f>
        <v/>
      </c>
      <c r="J35" s="17"/>
      <c r="K35" s="22"/>
      <c r="L35" s="22"/>
    </row>
    <row r="36" spans="1:12" ht="15" customHeight="1">
      <c r="A36" s="77"/>
      <c r="B36" s="142" t="s">
        <v>164</v>
      </c>
      <c r="C36" s="143"/>
      <c r="D36" s="69" t="s">
        <v>98</v>
      </c>
      <c r="E36" s="69"/>
      <c r="F36" s="144" t="str">
        <f t="shared" si="1"/>
        <v>SK400A01</v>
      </c>
      <c r="G36" s="145"/>
      <c r="H36" s="17"/>
      <c r="I36" s="12" t="str">
        <f>IF(($D$13&gt;=350)*($D$13&lt;=399),"SK350A01","")</f>
        <v/>
      </c>
      <c r="J36" s="17"/>
      <c r="K36" s="22"/>
      <c r="L36" s="22"/>
    </row>
    <row r="37" spans="1:12" ht="15" customHeight="1">
      <c r="A37" s="78"/>
      <c r="B37" s="146" t="s">
        <v>165</v>
      </c>
      <c r="C37" s="147"/>
      <c r="D37" s="71" t="s">
        <v>104</v>
      </c>
      <c r="E37" s="71"/>
      <c r="F37" s="148" t="str">
        <f t="shared" si="1"/>
        <v/>
      </c>
      <c r="G37" s="149"/>
      <c r="H37" s="17"/>
      <c r="I37" s="12" t="str">
        <f>IF(($D$13&gt;=400)*($D$13&lt;=550),"SK400A01","")</f>
        <v>SK400A01</v>
      </c>
      <c r="J37" s="17"/>
      <c r="K37" s="22"/>
    </row>
    <row r="38" spans="1:12" ht="15" customHeight="1">
      <c r="A38" s="123" t="s">
        <v>137</v>
      </c>
      <c r="B38" s="124"/>
      <c r="C38" s="124"/>
      <c r="D38" s="124"/>
      <c r="E38" s="124"/>
      <c r="F38" s="124"/>
      <c r="G38" s="125"/>
      <c r="I38" s="12" t="str">
        <f>IF(D13&gt;580,"фасад слишком высокий",IF(($D$13&gt;550)*($D$13&lt;=580),"SK450A01",""))</f>
        <v/>
      </c>
      <c r="J38" s="17"/>
    </row>
    <row r="39" spans="1:12" ht="15" customHeight="1">
      <c r="A39" s="126"/>
      <c r="B39" s="127"/>
      <c r="C39" s="127"/>
      <c r="D39" s="127"/>
      <c r="E39" s="127"/>
      <c r="F39" s="127"/>
      <c r="G39" s="128"/>
      <c r="J39" s="22"/>
    </row>
    <row r="40" spans="1:12">
      <c r="J40" s="22"/>
    </row>
    <row r="41" spans="1:12">
      <c r="J41" s="22"/>
    </row>
  </sheetData>
  <sheetProtection algorithmName="SHA-512" hashValue="8ju50SaxiFMM8P5wCdKya5ZCD4yhZ+JEoGG+rhmXGgXCpgdKeQOgTmMcziQcF1R+kq7EP120TuojPumXn6oquA==" saltValue="zrqoAcEVgJ0MRW6fZBYXZA==" spinCount="100000" sheet="1" objects="1" scenarios="1"/>
  <mergeCells count="49">
    <mergeCell ref="J1:K1"/>
    <mergeCell ref="B8:G8"/>
    <mergeCell ref="B11:G11"/>
    <mergeCell ref="D12:E12"/>
    <mergeCell ref="D13:E13"/>
    <mergeCell ref="D9:D10"/>
    <mergeCell ref="B14:G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B32:G32"/>
    <mergeCell ref="B33:C33"/>
    <mergeCell ref="D33:E33"/>
    <mergeCell ref="F33:G33"/>
    <mergeCell ref="D34:E34"/>
    <mergeCell ref="F34:G34"/>
    <mergeCell ref="B35:C35"/>
    <mergeCell ref="D35:E35"/>
    <mergeCell ref="F35:G35"/>
    <mergeCell ref="A38:G39"/>
    <mergeCell ref="F12:G13"/>
    <mergeCell ref="A1:G7"/>
    <mergeCell ref="F9:G10"/>
    <mergeCell ref="A8:A10"/>
    <mergeCell ref="A11:A13"/>
    <mergeCell ref="A14:A31"/>
    <mergeCell ref="A32:A37"/>
    <mergeCell ref="B12:B13"/>
    <mergeCell ref="B36:C36"/>
    <mergeCell ref="D36:E36"/>
    <mergeCell ref="F36:G36"/>
    <mergeCell ref="B37:C37"/>
    <mergeCell ref="D37:E37"/>
    <mergeCell ref="F37:G37"/>
    <mergeCell ref="B34:C34"/>
  </mergeCells>
  <hyperlinks>
    <hyperlink ref="A38" r:id="rId1" xr:uid="{00000000-0004-0000-0500-000000000000}"/>
  </hyperlinks>
  <pageMargins left="0.7" right="0.7" top="0.75" bottom="0.75" header="0.3" footer="0.3"/>
  <drawing r:id="rId2"/>
  <legacyDrawing r:id="rId3"/>
  <oleObjects>
    <mc:AlternateContent xmlns:mc="http://schemas.openxmlformats.org/markup-compatibility/2006">
      <mc:Choice Requires="x14">
        <oleObject progId="CorelDraw.Graphic.18" shapeId="8193" r:id="rId4">
          <objectPr defaultSize="0" r:id="rId5">
            <anchor moveWithCells="1">
              <from>
                <xdr:col>0</xdr:col>
                <xdr:colOff>127000</xdr:colOff>
                <xdr:row>0</xdr:row>
                <xdr:rowOff>101600</xdr:rowOff>
              </from>
              <to>
                <xdr:col>1</xdr:col>
                <xdr:colOff>1250950</xdr:colOff>
                <xdr:row>2</xdr:row>
                <xdr:rowOff>228600</xdr:rowOff>
              </to>
            </anchor>
          </objectPr>
        </oleObject>
      </mc:Choice>
      <mc:Fallback>
        <oleObject progId="CorelDraw.Graphic.18" shapeId="8193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6" name="Drop Down 2">
              <controlPr defaultSize="0" autoPict="0">
                <anchor>
                  <from>
                    <xdr:col>1</xdr:col>
                    <xdr:colOff>215900</xdr:colOff>
                    <xdr:row>11</xdr:row>
                    <xdr:rowOff>88900</xdr:rowOff>
                  </from>
                  <to>
                    <xdr:col>1</xdr:col>
                    <xdr:colOff>2393950</xdr:colOff>
                    <xdr:row>12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1" master="" otherUserPermission="visible"/>
  <rangeList sheetStid="2" master="" otherUserPermission="visible"/>
  <rangeList sheetStid="5" master="" otherUserPermission="visible"/>
  <rangeList sheetStid="6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www.w3.org/2000/xmlns/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SQ </vt:lpstr>
      <vt:lpstr>SE</vt:lpstr>
      <vt:lpstr>ST</vt:lpstr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Ermek Kudabayev</dc:creator>
  <cp:lastModifiedBy>Kudabayev Ermek</cp:lastModifiedBy>
  <dcterms:created xsi:type="dcterms:W3CDTF">2015-06-05T18:19:00Z</dcterms:created>
  <dcterms:modified xsi:type="dcterms:W3CDTF">2026-06-18T06:09:59Z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1C4ED3ACDAA941318EC722D4C6593E7B_13</vt:lpwstr>
  </property>
  <property fmtid="{D5CDD505-2E9C-101B-9397-08002B2CF9AE}" pid="3" name="KSOProductBuildVer">
    <vt:lpwstr>2052-12.1.0.20784</vt:lpwstr>
  </property>
</Properties>
</file>